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G_Backup\Research\PapersForARJ\MechanismOfSpeciation\Resubmission_3\SupplementalFiles\"/>
    </mc:Choice>
  </mc:AlternateContent>
  <bookViews>
    <workbookView xWindow="0" yWindow="0" windowWidth="9580" windowHeight="3060" tabRatio="817"/>
  </bookViews>
  <sheets>
    <sheet name="Human" sheetId="1" r:id="rId1"/>
    <sheet name="Drosophila" sheetId="3" r:id="rId2"/>
    <sheet name="Daphnia" sheetId="9" r:id="rId3"/>
    <sheet name="Saccharomyces" sheetId="8" r:id="rId4"/>
    <sheet name="Arabidopsis" sheetId="10" r:id="rId5"/>
    <sheet name="Pan_troglodytes" sheetId="12" r:id="rId6"/>
    <sheet name="Mus_musculus" sheetId="13" r:id="rId7"/>
    <sheet name="Heliconius" sheetId="14" r:id="rId8"/>
    <sheet name="Apis_mellifera" sheetId="15" r:id="rId9"/>
    <sheet name="Chlamydomonas" sheetId="16" r:id="rId10"/>
    <sheet name="Schizosaccharomyces" sheetId="17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8" l="1"/>
  <c r="K5" i="8"/>
  <c r="K4" i="8"/>
  <c r="I6" i="8"/>
  <c r="I5" i="8"/>
  <c r="I4" i="8"/>
  <c r="B6" i="8"/>
  <c r="B5" i="8"/>
  <c r="B4" i="8"/>
  <c r="K10" i="8"/>
  <c r="E4" i="17" l="1"/>
  <c r="E3" i="17"/>
  <c r="E2" i="17"/>
  <c r="E4" i="16"/>
  <c r="E3" i="16"/>
  <c r="E2" i="16"/>
  <c r="D24" i="1" l="1"/>
  <c r="D23" i="1"/>
  <c r="D22" i="1"/>
  <c r="E3" i="15"/>
  <c r="E4" i="12"/>
  <c r="E3" i="12"/>
  <c r="E2" i="12"/>
  <c r="K5" i="1"/>
  <c r="K4" i="1"/>
  <c r="K3" i="1"/>
  <c r="E5" i="1"/>
  <c r="E4" i="1"/>
  <c r="E3" i="1"/>
  <c r="E23" i="13" l="1"/>
  <c r="E22" i="13"/>
  <c r="E21" i="13"/>
  <c r="B18" i="13"/>
  <c r="D18" i="13" s="1"/>
  <c r="E18" i="13" s="1"/>
  <c r="B16" i="13"/>
  <c r="B17" i="13" s="1"/>
  <c r="D17" i="13" s="1"/>
  <c r="E17" i="13" s="1"/>
  <c r="D16" i="13" l="1"/>
  <c r="E16" i="13" s="1"/>
  <c r="J11" i="8" l="1"/>
  <c r="J10" i="8" l="1"/>
  <c r="D16" i="1" l="1"/>
  <c r="D15" i="1"/>
  <c r="D14" i="1"/>
  <c r="D13" i="1"/>
  <c r="D12" i="1"/>
  <c r="D11" i="1"/>
  <c r="D14" i="10" l="1"/>
  <c r="B4" i="10"/>
  <c r="D4" i="10" s="1"/>
  <c r="E4" i="10" s="1"/>
  <c r="A16" i="10"/>
  <c r="D16" i="10" s="1"/>
  <c r="E16" i="10" s="1"/>
  <c r="B15" i="10"/>
  <c r="A15" i="10"/>
  <c r="D15" i="10" s="1"/>
  <c r="E15" i="10" s="1"/>
  <c r="A20" i="10"/>
  <c r="A14" i="10"/>
  <c r="E14" i="10" s="1"/>
  <c r="B25" i="3"/>
  <c r="B24" i="3"/>
  <c r="E20" i="3"/>
  <c r="D20" i="3"/>
  <c r="A19" i="3"/>
  <c r="D19" i="3" s="1"/>
  <c r="E19" i="3" s="1"/>
  <c r="D18" i="3"/>
  <c r="E18" i="3" s="1"/>
  <c r="A24" i="1"/>
  <c r="C24" i="1" s="1"/>
  <c r="A23" i="1"/>
  <c r="C23" i="1" s="1"/>
  <c r="A22" i="1"/>
  <c r="C22" i="1" s="1"/>
  <c r="C11" i="3"/>
  <c r="C10" i="3"/>
  <c r="C9" i="3"/>
  <c r="E9" i="17" l="1"/>
  <c r="E8" i="17"/>
  <c r="E7" i="17"/>
  <c r="B4" i="17"/>
  <c r="D4" i="17" s="1"/>
  <c r="D3" i="17"/>
  <c r="B3" i="17"/>
  <c r="B2" i="17"/>
  <c r="D2" i="17" s="1"/>
  <c r="K11" i="8" l="1"/>
  <c r="K12" i="8" l="1"/>
  <c r="A3" i="16" l="1"/>
  <c r="D4" i="16"/>
  <c r="D3" i="16"/>
  <c r="D2" i="16"/>
  <c r="E9" i="16"/>
  <c r="E8" i="16"/>
  <c r="E7" i="16"/>
  <c r="B4" i="16"/>
  <c r="B3" i="16"/>
  <c r="B2" i="16"/>
  <c r="E7" i="15"/>
  <c r="D3" i="15"/>
  <c r="E9" i="14"/>
  <c r="E8" i="14"/>
  <c r="E7" i="14"/>
  <c r="B4" i="14"/>
  <c r="D4" i="14" s="1"/>
  <c r="E4" i="14" s="1"/>
  <c r="D3" i="14"/>
  <c r="E3" i="14" s="1"/>
  <c r="B3" i="14"/>
  <c r="B2" i="14"/>
  <c r="D2" i="14" s="1"/>
  <c r="E2" i="14" s="1"/>
  <c r="E10" i="13"/>
  <c r="E9" i="13"/>
  <c r="E8" i="13"/>
  <c r="B5" i="13"/>
  <c r="D5" i="13" s="1"/>
  <c r="E5" i="13" s="1"/>
  <c r="B3" i="13"/>
  <c r="E7" i="12"/>
  <c r="D4" i="12"/>
  <c r="D3" i="12"/>
  <c r="D2" i="12"/>
  <c r="B4" i="13" l="1"/>
  <c r="D4" i="13" s="1"/>
  <c r="E4" i="13" s="1"/>
  <c r="D3" i="13"/>
  <c r="E3" i="13" s="1"/>
  <c r="B3" i="10" l="1"/>
  <c r="D3" i="10" s="1"/>
  <c r="E3" i="10" s="1"/>
  <c r="B5" i="10"/>
  <c r="D5" i="10" s="1"/>
  <c r="E5" i="10" s="1"/>
  <c r="D8" i="10"/>
  <c r="B11" i="9" l="1"/>
  <c r="B10" i="9"/>
  <c r="B9" i="9"/>
  <c r="B3" i="9"/>
  <c r="D3" i="9" s="1"/>
  <c r="E3" i="9" s="1"/>
  <c r="B4" i="9"/>
  <c r="D4" i="9" s="1"/>
  <c r="E4" i="9" s="1"/>
  <c r="B2" i="9" l="1"/>
  <c r="D2" i="9" s="1"/>
  <c r="E2" i="9" s="1"/>
  <c r="E9" i="9"/>
  <c r="I10" i="1" l="1"/>
  <c r="K10" i="1" s="1"/>
  <c r="L10" i="1" s="1"/>
  <c r="M10" i="1" s="1"/>
  <c r="I11" i="1"/>
  <c r="K11" i="1" s="1"/>
  <c r="L11" i="1" s="1"/>
  <c r="M11" i="1" s="1"/>
  <c r="I15" i="1"/>
  <c r="J5" i="1"/>
  <c r="J4" i="1"/>
  <c r="J3" i="1"/>
  <c r="D5" i="1"/>
  <c r="D4" i="1"/>
  <c r="D3" i="1"/>
  <c r="N10" i="1" l="1"/>
  <c r="C16" i="8"/>
  <c r="A86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86" i="8"/>
  <c r="D86" i="8" s="1"/>
  <c r="M9" i="8" l="1"/>
  <c r="M11" i="8"/>
  <c r="M10" i="8"/>
  <c r="E9" i="3" l="1"/>
  <c r="E12" i="1"/>
  <c r="E10" i="1"/>
  <c r="B10" i="8" l="1"/>
  <c r="D5" i="8" l="1"/>
  <c r="E5" i="8" s="1"/>
  <c r="L6" i="8"/>
  <c r="D6" i="8"/>
  <c r="E6" i="8" s="1"/>
  <c r="D4" i="8"/>
  <c r="E4" i="8" s="1"/>
  <c r="L5" i="8"/>
  <c r="L4" i="8"/>
  <c r="E11" i="3" l="1"/>
  <c r="E10" i="3"/>
  <c r="E11" i="1"/>
  <c r="B5" i="3" l="1"/>
  <c r="D5" i="3" s="1"/>
  <c r="B4" i="3"/>
  <c r="D4" i="3" s="1"/>
  <c r="B3" i="3"/>
  <c r="D3" i="3" s="1"/>
  <c r="E4" i="3" l="1"/>
  <c r="E5" i="3"/>
  <c r="E3" i="3"/>
</calcChain>
</file>

<file path=xl/sharedStrings.xml><?xml version="1.0" encoding="utf-8"?>
<sst xmlns="http://schemas.openxmlformats.org/spreadsheetml/2006/main" count="153" uniqueCount="70">
  <si>
    <t>D. simulans</t>
  </si>
  <si>
    <t>D. mauritiana</t>
  </si>
  <si>
    <t>D. sechellia</t>
  </si>
  <si>
    <t>Nuclear</t>
  </si>
  <si>
    <t>%ID</t>
  </si>
  <si>
    <t>mtDNA</t>
  </si>
  <si>
    <t>mutations/base-pair/generation</t>
  </si>
  <si>
    <t>generation time</t>
  </si>
  <si>
    <t>mutations/genome/year</t>
  </si>
  <si>
    <r>
      <t xml:space="preserve">Divergence vs. </t>
    </r>
    <r>
      <rPr>
        <b/>
        <i/>
        <sz val="11"/>
        <color theme="1"/>
        <rFont val="Calibri"/>
        <family val="2"/>
        <scheme val="minor"/>
      </rPr>
      <t>D. melanogaster</t>
    </r>
  </si>
  <si>
    <t>absolute DNA difference</t>
  </si>
  <si>
    <r>
      <t xml:space="preserve">Nuclear DNA identity between </t>
    </r>
    <r>
      <rPr>
        <b/>
        <i/>
        <sz val="11"/>
        <color theme="1"/>
        <rFont val="Calibri"/>
        <family val="2"/>
        <scheme val="minor"/>
      </rPr>
      <t>S. cerevisiae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S. paradoxus</t>
    </r>
  </si>
  <si>
    <r>
      <t xml:space="preserve">mtDNA identity between </t>
    </r>
    <r>
      <rPr>
        <b/>
        <i/>
        <sz val="11"/>
        <color theme="1"/>
        <rFont val="Calibri"/>
        <family val="2"/>
        <scheme val="minor"/>
      </rPr>
      <t>S. cerevisiae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S. paradoxus</t>
    </r>
  </si>
  <si>
    <t>absolute difference</t>
  </si>
  <si>
    <t>published heterozygosity</t>
  </si>
  <si>
    <t>Species</t>
  </si>
  <si>
    <r>
      <t xml:space="preserve">calculation of mtDNA identity between </t>
    </r>
    <r>
      <rPr>
        <b/>
        <i/>
        <sz val="11"/>
        <color theme="1"/>
        <rFont val="Calibri"/>
        <family val="2"/>
        <scheme val="minor"/>
      </rPr>
      <t>S. cerevisiae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S. paradoxus</t>
    </r>
    <r>
      <rPr>
        <b/>
        <sz val="11"/>
        <color theme="1"/>
        <rFont val="Calibri"/>
        <family val="2"/>
        <scheme val="minor"/>
      </rPr>
      <t xml:space="preserve"> (from published literature)</t>
    </r>
  </si>
  <si>
    <t>Size of DNA fragment</t>
  </si>
  <si>
    <t>%identity</t>
  </si>
  <si>
    <t>shared base-pairs</t>
  </si>
  <si>
    <t>mutational differences/6,000 years</t>
  </si>
  <si>
    <t>Predictions for haplotype blocks</t>
  </si>
  <si>
    <t>recombination events/haploid cell</t>
  </si>
  <si>
    <t>gene conversion events/haploid cell</t>
  </si>
  <si>
    <t>total haplotype block division events/haploid cell</t>
  </si>
  <si>
    <t>haplotype block division events/year</t>
  </si>
  <si>
    <t>haplotype block division events/individual/6,000 years</t>
  </si>
  <si>
    <t>Haplotype block length</t>
  </si>
  <si>
    <t>haplotype blocks/genome</t>
  </si>
  <si>
    <t>Average</t>
  </si>
  <si>
    <t>haploid nuclear genome size</t>
  </si>
  <si>
    <t>mtDNA genome size</t>
  </si>
  <si>
    <t>mutations/haploid genome/generation</t>
  </si>
  <si>
    <t>generation time (years)</t>
  </si>
  <si>
    <t>comparative haplotype block division events among 7 lineages/6,000 years</t>
  </si>
  <si>
    <t>Nucleotide heterozygosity</t>
  </si>
  <si>
    <t>Absolute number of sites</t>
  </si>
  <si>
    <t>mut/genome/gen</t>
  </si>
  <si>
    <t>SNV mutations/base-pair/generation</t>
  </si>
  <si>
    <t>SNV mutations/diploid genome/year</t>
  </si>
  <si>
    <t>SNV mutational differences/6,000 years</t>
  </si>
  <si>
    <t>SNV mutations/individual/6,000 years</t>
  </si>
  <si>
    <t>SNV rate</t>
  </si>
  <si>
    <t>% of genome</t>
  </si>
  <si>
    <t>Total:</t>
  </si>
  <si>
    <t>Corrected difference</t>
  </si>
  <si>
    <t>Absolute difference</t>
  </si>
  <si>
    <t>Predictions for all SNV alleles</t>
  </si>
  <si>
    <t>Predictions for rare SNV alleles</t>
  </si>
  <si>
    <t>Predictions for indel and SV alleles</t>
  </si>
  <si>
    <t>indel and SV mutational differences/6,000 years</t>
  </si>
  <si>
    <t>indel and SV mutations/genome/year</t>
  </si>
  <si>
    <t>indel and SV mutations/diploid genome/generation</t>
  </si>
  <si>
    <t>indel mutations/base-pair/generation</t>
  </si>
  <si>
    <t>indel mutations/diploid genome/year</t>
  </si>
  <si>
    <t>indel mutational differences/6,000 years</t>
  </si>
  <si>
    <r>
      <rPr>
        <b/>
        <i/>
        <u/>
        <sz val="11"/>
        <color theme="1"/>
        <rFont val="Calibri"/>
        <family val="2"/>
        <scheme val="minor"/>
      </rPr>
      <t xml:space="preserve">D. melanogaster -- D. simulans </t>
    </r>
    <r>
      <rPr>
        <b/>
        <u/>
        <sz val="11"/>
        <color theme="1"/>
        <rFont val="Calibri"/>
        <family val="2"/>
        <scheme val="minor"/>
      </rPr>
      <t>indel difference:</t>
    </r>
  </si>
  <si>
    <t>Total indel difference</t>
  </si>
  <si>
    <t>autosome insertion + deletion pairwise difference</t>
  </si>
  <si>
    <t>SNV calculations</t>
  </si>
  <si>
    <t>indel calculations</t>
  </si>
  <si>
    <r>
      <rPr>
        <b/>
        <i/>
        <u/>
        <sz val="11"/>
        <color theme="1"/>
        <rFont val="Calibri"/>
        <family val="2"/>
        <scheme val="minor"/>
      </rPr>
      <t xml:space="preserve">A. thaliana -- A. lyrata </t>
    </r>
    <r>
      <rPr>
        <b/>
        <u/>
        <sz val="11"/>
        <color theme="1"/>
        <rFont val="Calibri"/>
        <family val="2"/>
        <scheme val="minor"/>
      </rPr>
      <t>indel difference:</t>
    </r>
  </si>
  <si>
    <t>Number of SNP calls</t>
  </si>
  <si>
    <t>Heterozygote calls</t>
  </si>
  <si>
    <t>Heterozygosity</t>
  </si>
  <si>
    <t>SNV differences</t>
  </si>
  <si>
    <t>Average:</t>
  </si>
  <si>
    <t>mutations/diploid genome/year</t>
  </si>
  <si>
    <t>SNV mutations/6,000 years</t>
  </si>
  <si>
    <t>SNV mutations/4,365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</si>
</sst>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0"/>
    <numFmt numFmtId="165" formatCode="0.000"/>
    <numFmt numFmtId="166" formatCode="#,##0.0"/>
    <numFmt numFmtId="167" formatCode="#,##0.00000"/>
    <numFmt numFmtId="168" formatCode="0.0"/>
    <numFmt numFmtId="169" formatCode="0.0000"/>
    <numFmt numFmtId="170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1" fontId="0" fillId="0" borderId="0" xfId="0" applyNumberFormat="1"/>
    <xf numFmtId="1" fontId="0" fillId="0" borderId="0" xfId="0" applyNumberFormat="1"/>
    <xf numFmtId="3" fontId="0" fillId="0" borderId="0" xfId="1" applyNumberFormat="1" applyFont="1"/>
    <xf numFmtId="3" fontId="0" fillId="0" borderId="0" xfId="0" applyNumberFormat="1"/>
    <xf numFmtId="0" fontId="2" fillId="0" borderId="0" xfId="0" applyFon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167" fontId="0" fillId="0" borderId="0" xfId="0" applyNumberFormat="1"/>
    <xf numFmtId="0" fontId="4" fillId="0" borderId="0" xfId="0" applyFont="1" applyFill="1" applyBorder="1"/>
    <xf numFmtId="168" fontId="4" fillId="0" borderId="0" xfId="0" applyNumberFormat="1" applyFont="1" applyFill="1" applyBorder="1"/>
    <xf numFmtId="168" fontId="5" fillId="0" borderId="0" xfId="0" applyNumberFormat="1" applyFont="1" applyFill="1" applyBorder="1"/>
    <xf numFmtId="0" fontId="0" fillId="0" borderId="0" xfId="0" applyAlignment="1">
      <alignment horizontal="right"/>
    </xf>
    <xf numFmtId="1" fontId="4" fillId="0" borderId="0" xfId="0" applyNumberFormat="1" applyFont="1" applyFill="1" applyBorder="1"/>
    <xf numFmtId="0" fontId="0" fillId="0" borderId="0" xfId="0" quotePrefix="1"/>
    <xf numFmtId="16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1" fontId="0" fillId="0" borderId="7" xfId="0" applyNumberFormat="1" applyBorder="1"/>
    <xf numFmtId="0" fontId="0" fillId="0" borderId="0" xfId="0" applyBorder="1"/>
    <xf numFmtId="11" fontId="0" fillId="0" borderId="0" xfId="0" applyNumberFormat="1" applyBorder="1"/>
    <xf numFmtId="3" fontId="0" fillId="0" borderId="8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3" fontId="0" fillId="0" borderId="6" xfId="0" applyNumberFormat="1" applyBorder="1"/>
    <xf numFmtId="3" fontId="0" fillId="0" borderId="0" xfId="0" applyNumberFormat="1" applyBorder="1"/>
    <xf numFmtId="0" fontId="4" fillId="0" borderId="7" xfId="0" applyFont="1" applyFill="1" applyBorder="1"/>
    <xf numFmtId="0" fontId="4" fillId="0" borderId="4" xfId="0" applyFont="1" applyFill="1" applyBorder="1"/>
    <xf numFmtId="3" fontId="0" fillId="0" borderId="5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2" fillId="0" borderId="7" xfId="0" applyFont="1" applyBorder="1"/>
    <xf numFmtId="3" fontId="0" fillId="0" borderId="4" xfId="0" applyNumberFormat="1" applyBorder="1"/>
    <xf numFmtId="3" fontId="0" fillId="0" borderId="8" xfId="1" applyNumberFormat="1" applyFont="1" applyBorder="1"/>
    <xf numFmtId="164" fontId="0" fillId="0" borderId="0" xfId="0" applyNumberFormat="1" applyBorder="1"/>
    <xf numFmtId="3" fontId="0" fillId="0" borderId="6" xfId="1" applyNumberFormat="1" applyFont="1" applyBorder="1"/>
    <xf numFmtId="0" fontId="2" fillId="0" borderId="7" xfId="0" applyFont="1" applyBorder="1" applyAlignment="1">
      <alignment horizontal="center" vertical="center"/>
    </xf>
    <xf numFmtId="168" fontId="0" fillId="0" borderId="4" xfId="0" applyNumberFormat="1" applyBorder="1"/>
    <xf numFmtId="0" fontId="0" fillId="0" borderId="4" xfId="0" applyBorder="1"/>
    <xf numFmtId="3" fontId="0" fillId="0" borderId="3" xfId="0" applyNumberFormat="1" applyBorder="1"/>
    <xf numFmtId="0" fontId="2" fillId="0" borderId="0" xfId="0" applyFont="1" applyBorder="1"/>
    <xf numFmtId="0" fontId="0" fillId="0" borderId="7" xfId="0" applyBorder="1"/>
    <xf numFmtId="1" fontId="0" fillId="0" borderId="0" xfId="0" applyNumberFormat="1" applyBorder="1"/>
    <xf numFmtId="165" fontId="0" fillId="0" borderId="6" xfId="0" applyNumberFormat="1" applyBorder="1"/>
    <xf numFmtId="11" fontId="0" fillId="0" borderId="8" xfId="0" applyNumberFormat="1" applyBorder="1"/>
    <xf numFmtId="11" fontId="0" fillId="0" borderId="6" xfId="0" applyNumberForma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/>
    <xf numFmtId="0" fontId="2" fillId="0" borderId="9" xfId="0" applyFont="1" applyBorder="1" applyAlignment="1">
      <alignment horizontal="center" vertical="center" wrapText="1"/>
    </xf>
    <xf numFmtId="169" fontId="0" fillId="0" borderId="10" xfId="0" applyNumberFormat="1" applyBorder="1"/>
    <xf numFmtId="169" fontId="0" fillId="0" borderId="11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11" fontId="0" fillId="0" borderId="0" xfId="0" applyNumberFormat="1" applyFont="1" applyBorder="1" applyAlignment="1">
      <alignment horizontal="right" vertical="center" wrapText="1"/>
    </xf>
    <xf numFmtId="11" fontId="0" fillId="0" borderId="5" xfId="0" applyNumberFormat="1" applyFont="1" applyBorder="1" applyAlignment="1">
      <alignment horizontal="right" vertical="center" wrapText="1"/>
    </xf>
    <xf numFmtId="3" fontId="0" fillId="0" borderId="8" xfId="1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2" fontId="0" fillId="0" borderId="5" xfId="0" applyNumberFormat="1" applyBorder="1"/>
    <xf numFmtId="2" fontId="0" fillId="0" borderId="0" xfId="0" applyNumberFormat="1" applyBorder="1"/>
    <xf numFmtId="0" fontId="0" fillId="0" borderId="9" xfId="0" applyBorder="1"/>
    <xf numFmtId="170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0" fillId="0" borderId="5" xfId="0" quotePrefix="1" applyBorder="1"/>
    <xf numFmtId="164" fontId="4" fillId="0" borderId="0" xfId="0" applyNumberFormat="1" applyFont="1" applyFill="1" applyBorder="1"/>
    <xf numFmtId="0" fontId="4" fillId="0" borderId="5" xfId="0" applyFont="1" applyFill="1" applyBorder="1"/>
    <xf numFmtId="0" fontId="7" fillId="0" borderId="1" xfId="0" applyFont="1" applyBorder="1" applyAlignment="1"/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11" fontId="0" fillId="0" borderId="8" xfId="0" applyNumberFormat="1" applyFont="1" applyBorder="1"/>
    <xf numFmtId="11" fontId="0" fillId="0" borderId="6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0" borderId="6" xfId="0" applyNumberFormat="1" applyBorder="1"/>
    <xf numFmtId="11" fontId="0" fillId="0" borderId="2" xfId="0" applyNumberFormat="1" applyBorder="1"/>
    <xf numFmtId="0" fontId="10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1" fontId="2" fillId="0" borderId="5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55" zoomScaleNormal="55" workbookViewId="0">
      <selection activeCell="H24" sqref="H24"/>
    </sheetView>
  </sheetViews>
  <sheetFormatPr defaultRowHeight="14.5" x14ac:dyDescent="0.35"/>
  <cols>
    <col min="1" max="1" width="18.1796875" customWidth="1"/>
    <col min="2" max="2" width="12.6328125" customWidth="1"/>
    <col min="3" max="3" width="18" bestFit="1" customWidth="1"/>
    <col min="4" max="4" width="17.81640625" customWidth="1"/>
    <col min="5" max="5" width="21.54296875" customWidth="1"/>
    <col min="7" max="7" width="16.54296875" customWidth="1"/>
    <col min="8" max="8" width="17.08984375" customWidth="1"/>
    <col min="9" max="9" width="16.81640625" customWidth="1"/>
    <col min="10" max="10" width="16.26953125" customWidth="1"/>
    <col min="11" max="11" width="18.54296875" customWidth="1"/>
    <col min="12" max="12" width="21.90625" customWidth="1"/>
    <col min="13" max="13" width="25.54296875" customWidth="1"/>
    <col min="14" max="14" width="14.36328125" customWidth="1"/>
    <col min="15" max="15" width="15.08984375" customWidth="1"/>
    <col min="16" max="16" width="17.1796875" customWidth="1"/>
    <col min="17" max="17" width="10.7265625" customWidth="1"/>
    <col min="18" max="18" width="14.7265625" customWidth="1"/>
    <col min="19" max="19" width="25.453125" customWidth="1"/>
    <col min="20" max="20" width="7.54296875" bestFit="1" customWidth="1"/>
  </cols>
  <sheetData>
    <row r="1" spans="1:15" x14ac:dyDescent="0.35">
      <c r="A1" s="83" t="s">
        <v>47</v>
      </c>
      <c r="B1" s="18"/>
      <c r="C1" s="18"/>
      <c r="D1" s="18"/>
      <c r="E1" s="19"/>
      <c r="G1" s="83" t="s">
        <v>48</v>
      </c>
      <c r="H1" s="18"/>
      <c r="I1" s="18"/>
      <c r="J1" s="18"/>
      <c r="K1" s="19"/>
    </row>
    <row r="2" spans="1:15" ht="43.5" x14ac:dyDescent="0.35">
      <c r="A2" s="23" t="s">
        <v>38</v>
      </c>
      <c r="B2" s="24" t="s">
        <v>33</v>
      </c>
      <c r="C2" s="24" t="s">
        <v>30</v>
      </c>
      <c r="D2" s="24" t="s">
        <v>39</v>
      </c>
      <c r="E2" s="25" t="s">
        <v>68</v>
      </c>
      <c r="G2" s="23" t="s">
        <v>38</v>
      </c>
      <c r="H2" s="24" t="s">
        <v>33</v>
      </c>
      <c r="I2" s="24" t="s">
        <v>30</v>
      </c>
      <c r="J2" s="24" t="s">
        <v>39</v>
      </c>
      <c r="K2" s="25" t="s">
        <v>69</v>
      </c>
    </row>
    <row r="3" spans="1:15" x14ac:dyDescent="0.35">
      <c r="A3" s="26">
        <v>1.0000000000000001E-9</v>
      </c>
      <c r="B3" s="27">
        <v>35</v>
      </c>
      <c r="C3" s="28">
        <v>3260000000</v>
      </c>
      <c r="D3" s="28">
        <f>A3*C3/B3*2</f>
        <v>0.1862857142857143</v>
      </c>
      <c r="E3" s="29">
        <f>D3*6000</f>
        <v>1117.7142857142858</v>
      </c>
      <c r="F3" s="10"/>
      <c r="G3" s="26">
        <v>1.0000000000000001E-9</v>
      </c>
      <c r="H3" s="27">
        <v>35</v>
      </c>
      <c r="I3" s="28">
        <v>3260000000</v>
      </c>
      <c r="J3" s="28">
        <f>G3/H3*I3*2</f>
        <v>0.1862857142857143</v>
      </c>
      <c r="K3" s="29">
        <f>J3*4365</f>
        <v>813.13714285714298</v>
      </c>
    </row>
    <row r="4" spans="1:15" x14ac:dyDescent="0.35">
      <c r="A4" s="26">
        <v>1.2E-8</v>
      </c>
      <c r="B4" s="27">
        <v>25</v>
      </c>
      <c r="C4" s="28">
        <v>3260000000</v>
      </c>
      <c r="D4" s="28">
        <f t="shared" ref="D4:D5" si="0">A4*C4/B4*2</f>
        <v>3.1295999999999999</v>
      </c>
      <c r="E4" s="29">
        <f>D4*6000</f>
        <v>18777.599999999999</v>
      </c>
      <c r="F4" s="10"/>
      <c r="G4" s="26">
        <v>1.2E-8</v>
      </c>
      <c r="H4" s="27">
        <v>25</v>
      </c>
      <c r="I4" s="28">
        <v>3260000000</v>
      </c>
      <c r="J4" s="28">
        <f t="shared" ref="J4:J5" si="1">G4/H4*I4*2</f>
        <v>3.1295999999999999</v>
      </c>
      <c r="K4" s="29">
        <f t="shared" ref="K4:K5" si="2">J4*4365</f>
        <v>13660.704</v>
      </c>
    </row>
    <row r="5" spans="1:15" ht="15" thickBot="1" x14ac:dyDescent="0.4">
      <c r="A5" s="30">
        <v>3.5000000000000002E-8</v>
      </c>
      <c r="B5" s="20">
        <v>15</v>
      </c>
      <c r="C5" s="31">
        <v>3260000000</v>
      </c>
      <c r="D5" s="31">
        <f t="shared" si="0"/>
        <v>15.213333333333335</v>
      </c>
      <c r="E5" s="32">
        <f>D5*6000</f>
        <v>91280.000000000015</v>
      </c>
      <c r="F5" s="10"/>
      <c r="G5" s="30">
        <v>3.5000000000000002E-8</v>
      </c>
      <c r="H5" s="20">
        <v>15</v>
      </c>
      <c r="I5" s="31">
        <v>3260000000</v>
      </c>
      <c r="J5" s="31">
        <f t="shared" si="1"/>
        <v>15.213333333333335</v>
      </c>
      <c r="K5" s="32">
        <f t="shared" si="2"/>
        <v>66406.200000000012</v>
      </c>
    </row>
    <row r="7" spans="1:15" ht="15" thickBot="1" x14ac:dyDescent="0.4"/>
    <row r="8" spans="1:15" ht="15" thickBot="1" x14ac:dyDescent="0.4">
      <c r="G8" s="83" t="s">
        <v>21</v>
      </c>
      <c r="H8" s="18"/>
      <c r="I8" s="18"/>
      <c r="J8" s="18"/>
      <c r="K8" s="18"/>
      <c r="L8" s="18"/>
      <c r="M8" s="18"/>
      <c r="N8" s="19"/>
    </row>
    <row r="9" spans="1:15" ht="43.5" x14ac:dyDescent="0.35">
      <c r="A9" s="37" t="s">
        <v>14</v>
      </c>
      <c r="B9" s="92"/>
      <c r="C9" s="18"/>
      <c r="D9" s="19"/>
      <c r="E9" s="39" t="s">
        <v>32</v>
      </c>
      <c r="G9" s="23" t="s">
        <v>22</v>
      </c>
      <c r="H9" s="24" t="s">
        <v>23</v>
      </c>
      <c r="I9" s="24" t="s">
        <v>24</v>
      </c>
      <c r="J9" s="24" t="s">
        <v>7</v>
      </c>
      <c r="K9" s="24" t="s">
        <v>25</v>
      </c>
      <c r="L9" s="24" t="s">
        <v>26</v>
      </c>
      <c r="M9" s="24" t="s">
        <v>34</v>
      </c>
      <c r="N9" s="40" t="s">
        <v>29</v>
      </c>
    </row>
    <row r="10" spans="1:15" ht="29" x14ac:dyDescent="0.35">
      <c r="A10" s="93" t="s">
        <v>62</v>
      </c>
      <c r="B10" s="89" t="s">
        <v>63</v>
      </c>
      <c r="C10" s="87" t="s">
        <v>64</v>
      </c>
      <c r="D10" s="94" t="s">
        <v>65</v>
      </c>
      <c r="E10" s="90">
        <f>A3*C3</f>
        <v>3.2600000000000002</v>
      </c>
      <c r="G10" s="34">
        <v>19.100000000000001</v>
      </c>
      <c r="H10" s="27">
        <v>220</v>
      </c>
      <c r="I10" s="33">
        <f>H10+G10</f>
        <v>239.1</v>
      </c>
      <c r="J10" s="27">
        <v>35</v>
      </c>
      <c r="K10" s="33">
        <f>I10/J10</f>
        <v>6.831428571428571</v>
      </c>
      <c r="L10" s="33">
        <f>K10*6000</f>
        <v>40988.571428571428</v>
      </c>
      <c r="M10" s="33">
        <f>L10*7</f>
        <v>286920</v>
      </c>
      <c r="N10" s="29">
        <f>AVERAGE(M10:M11)</f>
        <v>488560</v>
      </c>
    </row>
    <row r="11" spans="1:15" ht="15" thickBot="1" x14ac:dyDescent="0.4">
      <c r="A11" s="95">
        <v>3374491</v>
      </c>
      <c r="B11" s="88">
        <v>1996657</v>
      </c>
      <c r="C11" s="11">
        <v>6.1327267740277861E-4</v>
      </c>
      <c r="D11" s="96">
        <f>C11*3260000000</f>
        <v>1999268.9283330583</v>
      </c>
      <c r="E11" s="90">
        <f>A4*C4</f>
        <v>39.119999999999997</v>
      </c>
      <c r="G11" s="35">
        <v>26.5</v>
      </c>
      <c r="H11" s="20">
        <v>220</v>
      </c>
      <c r="I11" s="36">
        <f>H11+G11</f>
        <v>246.5</v>
      </c>
      <c r="J11" s="36">
        <v>15</v>
      </c>
      <c r="K11" s="36">
        <f>I11/J11</f>
        <v>16.433333333333334</v>
      </c>
      <c r="L11" s="36">
        <f>K11*6000</f>
        <v>98600</v>
      </c>
      <c r="M11" s="36">
        <f>L11*7</f>
        <v>690200</v>
      </c>
      <c r="N11" s="21"/>
    </row>
    <row r="12" spans="1:15" ht="15" thickBot="1" x14ac:dyDescent="0.4">
      <c r="A12" s="95">
        <v>2808162</v>
      </c>
      <c r="B12" s="88">
        <v>1553776</v>
      </c>
      <c r="C12" s="11">
        <v>4.7724189362728783E-4</v>
      </c>
      <c r="D12" s="96">
        <f t="shared" ref="D12:D15" si="3">C12*3260000000</f>
        <v>1555808.5732249583</v>
      </c>
      <c r="E12" s="91">
        <f>A5*C5</f>
        <v>114.10000000000001</v>
      </c>
    </row>
    <row r="13" spans="1:15" ht="15" thickBot="1" x14ac:dyDescent="0.4">
      <c r="A13" s="95">
        <v>3490568</v>
      </c>
      <c r="B13" s="88">
        <v>2096023</v>
      </c>
      <c r="C13" s="11">
        <v>6.4833581199457584E-4</v>
      </c>
      <c r="D13" s="96">
        <f t="shared" si="3"/>
        <v>2113574.7471023174</v>
      </c>
    </row>
    <row r="14" spans="1:15" ht="29" x14ac:dyDescent="0.35">
      <c r="A14" s="95">
        <v>3386469</v>
      </c>
      <c r="B14" s="88">
        <v>1859833</v>
      </c>
      <c r="C14" s="11">
        <v>5.7124722144666904E-4</v>
      </c>
      <c r="D14" s="96">
        <f t="shared" si="3"/>
        <v>1862265.941916141</v>
      </c>
      <c r="G14" s="37" t="s">
        <v>27</v>
      </c>
      <c r="H14" s="38" t="s">
        <v>30</v>
      </c>
      <c r="I14" s="39" t="s">
        <v>28</v>
      </c>
      <c r="N14" s="16"/>
      <c r="O14" s="16"/>
    </row>
    <row r="15" spans="1:15" ht="15" thickBot="1" x14ac:dyDescent="0.4">
      <c r="A15" s="95">
        <v>2336316</v>
      </c>
      <c r="B15" s="88">
        <v>1010456</v>
      </c>
      <c r="C15" s="11">
        <v>3.1036129716706574E-4</v>
      </c>
      <c r="D15" s="96">
        <f t="shared" si="3"/>
        <v>1011777.8287646343</v>
      </c>
      <c r="G15" s="43">
        <v>5400</v>
      </c>
      <c r="H15" s="31">
        <v>3260000000</v>
      </c>
      <c r="I15" s="32">
        <f>H15/G15</f>
        <v>603703.70370370371</v>
      </c>
    </row>
    <row r="16" spans="1:15" ht="15" thickBot="1" x14ac:dyDescent="0.4">
      <c r="A16" s="49"/>
      <c r="B16" s="20"/>
      <c r="C16" s="98" t="s">
        <v>66</v>
      </c>
      <c r="D16" s="97">
        <f>AVERAGE(D11:D15)</f>
        <v>1708539.203868222</v>
      </c>
    </row>
    <row r="17" spans="1:19" x14ac:dyDescent="0.35">
      <c r="A17" s="27"/>
      <c r="B17" s="27"/>
      <c r="C17" s="28"/>
      <c r="D17" s="7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 thickBot="1" x14ac:dyDescent="0.4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77"/>
      <c r="P18" s="77"/>
      <c r="Q18" s="20"/>
      <c r="R18" s="20"/>
      <c r="S18" s="20"/>
    </row>
    <row r="19" spans="1:19" ht="15" thickBot="1" x14ac:dyDescent="0.4">
      <c r="I19" s="5"/>
      <c r="O19" s="4"/>
      <c r="P19" s="4"/>
    </row>
    <row r="20" spans="1:19" x14ac:dyDescent="0.35">
      <c r="A20" s="83" t="s">
        <v>49</v>
      </c>
      <c r="B20" s="18"/>
      <c r="C20" s="18"/>
      <c r="D20" s="19"/>
      <c r="K20" s="4"/>
      <c r="O20" s="1"/>
      <c r="P20" s="1"/>
    </row>
    <row r="21" spans="1:19" ht="58" x14ac:dyDescent="0.35">
      <c r="A21" s="23" t="s">
        <v>52</v>
      </c>
      <c r="B21" s="24" t="s">
        <v>33</v>
      </c>
      <c r="C21" s="24" t="s">
        <v>51</v>
      </c>
      <c r="D21" s="25" t="s">
        <v>50</v>
      </c>
      <c r="L21" s="4"/>
      <c r="M21" s="4"/>
    </row>
    <row r="22" spans="1:19" x14ac:dyDescent="0.35">
      <c r="A22" s="52">
        <f>2.94+0.16</f>
        <v>3.1</v>
      </c>
      <c r="B22" s="27">
        <v>15</v>
      </c>
      <c r="C22" s="71">
        <f>A22/B22</f>
        <v>0.20666666666666667</v>
      </c>
      <c r="D22" s="29">
        <f>C22*6000</f>
        <v>1240</v>
      </c>
      <c r="E22" s="4"/>
      <c r="L22" s="4"/>
      <c r="M22" s="4"/>
      <c r="O22" s="16"/>
      <c r="P22" s="16"/>
    </row>
    <row r="23" spans="1:19" x14ac:dyDescent="0.35">
      <c r="A23" s="52">
        <f t="shared" ref="A23:A24" si="4">2.94+0.16</f>
        <v>3.1</v>
      </c>
      <c r="B23" s="27">
        <v>25</v>
      </c>
      <c r="C23" s="71">
        <f t="shared" ref="C23:C24" si="5">A23/B23</f>
        <v>0.124</v>
      </c>
      <c r="D23" s="29">
        <f>C23*6000</f>
        <v>744</v>
      </c>
      <c r="E23" s="4"/>
      <c r="I23" s="5"/>
      <c r="O23" s="11"/>
      <c r="P23" s="11"/>
    </row>
    <row r="24" spans="1:19" ht="15" thickBot="1" x14ac:dyDescent="0.4">
      <c r="A24" s="49">
        <f t="shared" si="4"/>
        <v>3.1</v>
      </c>
      <c r="B24" s="20">
        <v>35</v>
      </c>
      <c r="C24" s="70">
        <f t="shared" si="5"/>
        <v>8.8571428571428579E-2</v>
      </c>
      <c r="D24" s="32">
        <f>C24*6000</f>
        <v>531.42857142857144</v>
      </c>
      <c r="E24" s="4"/>
      <c r="O24" s="13"/>
      <c r="P24" s="13"/>
    </row>
    <row r="25" spans="1:19" x14ac:dyDescent="0.35">
      <c r="L25" s="12"/>
      <c r="M25" s="1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2" sqref="D2"/>
    </sheetView>
  </sheetViews>
  <sheetFormatPr defaultRowHeight="14.5" x14ac:dyDescent="0.35"/>
  <cols>
    <col min="1" max="1" width="14.54296875" customWidth="1"/>
    <col min="2" max="2" width="11.26953125" customWidth="1"/>
    <col min="3" max="3" width="14" customWidth="1"/>
    <col min="4" max="4" width="17.36328125" customWidth="1"/>
    <col min="5" max="5" width="18.54296875" customWidth="1"/>
    <col min="6" max="6" width="14.26953125" bestFit="1" customWidth="1"/>
    <col min="7" max="7" width="8.7265625" bestFit="1" customWidth="1"/>
  </cols>
  <sheetData>
    <row r="1" spans="1:8" ht="43.5" x14ac:dyDescent="0.35">
      <c r="A1" s="37" t="s">
        <v>38</v>
      </c>
      <c r="B1" s="24" t="s">
        <v>33</v>
      </c>
      <c r="C1" s="38" t="s">
        <v>30</v>
      </c>
      <c r="D1" s="38" t="s">
        <v>39</v>
      </c>
      <c r="E1" s="39" t="s">
        <v>41</v>
      </c>
    </row>
    <row r="2" spans="1:8" x14ac:dyDescent="0.35">
      <c r="A2" s="26">
        <v>1.09E-10</v>
      </c>
      <c r="B2" s="27">
        <f>19.8/24/365.25</f>
        <v>2.2587268993839839E-3</v>
      </c>
      <c r="C2" s="28">
        <v>120405000</v>
      </c>
      <c r="D2" s="28">
        <f>A2*C2/B2*2</f>
        <v>11.620833845454545</v>
      </c>
      <c r="E2" s="29">
        <f>D2*6000</f>
        <v>69725.003072727268</v>
      </c>
    </row>
    <row r="3" spans="1:8" x14ac:dyDescent="0.35">
      <c r="A3" s="26">
        <f>(A2+A4)/2</f>
        <v>5.3600000000000001E-10</v>
      </c>
      <c r="B3" s="45">
        <f>15/24/365.25</f>
        <v>1.7111567419575632E-3</v>
      </c>
      <c r="C3" s="28">
        <v>120405000</v>
      </c>
      <c r="D3" s="28">
        <f t="shared" ref="D3:D4" si="0">A3*C3/B3*2</f>
        <v>75.430939104000004</v>
      </c>
      <c r="E3" s="29">
        <f>D3*6000</f>
        <v>452585.634624</v>
      </c>
    </row>
    <row r="4" spans="1:8" ht="15" thickBot="1" x14ac:dyDescent="0.4">
      <c r="A4" s="30">
        <v>9.6300000000000009E-10</v>
      </c>
      <c r="B4" s="20">
        <f>10.5/24/365.25</f>
        <v>1.1978097193702942E-3</v>
      </c>
      <c r="C4" s="31">
        <v>120405000</v>
      </c>
      <c r="D4" s="31">
        <f t="shared" si="0"/>
        <v>193.60339647428577</v>
      </c>
      <c r="E4" s="32">
        <f>D4*6000</f>
        <v>1161620.3788457147</v>
      </c>
    </row>
    <row r="5" spans="1:8" x14ac:dyDescent="0.35">
      <c r="H5" s="8"/>
    </row>
    <row r="6" spans="1:8" ht="43.5" x14ac:dyDescent="0.35">
      <c r="E6" s="74" t="s">
        <v>32</v>
      </c>
      <c r="H6" s="8"/>
    </row>
    <row r="7" spans="1:8" x14ac:dyDescent="0.35">
      <c r="E7" s="6">
        <f>A2*C2</f>
        <v>1.3124145E-2</v>
      </c>
      <c r="H7" s="8"/>
    </row>
    <row r="8" spans="1:8" x14ac:dyDescent="0.35">
      <c r="E8" s="6">
        <f>A3*C3</f>
        <v>6.4537079999999997E-2</v>
      </c>
    </row>
    <row r="9" spans="1:8" x14ac:dyDescent="0.35">
      <c r="E9" s="6">
        <f>A4*C4</f>
        <v>0.11595001500000002</v>
      </c>
      <c r="G9" s="16"/>
    </row>
    <row r="10" spans="1:8" x14ac:dyDescent="0.35">
      <c r="G10" s="17"/>
    </row>
    <row r="12" spans="1:8" x14ac:dyDescent="0.35">
      <c r="G12" s="17"/>
    </row>
    <row r="17" spans="4:5" x14ac:dyDescent="0.35">
      <c r="D17" s="1"/>
      <c r="E1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2" sqref="E2"/>
    </sheetView>
  </sheetViews>
  <sheetFormatPr defaultRowHeight="14.5" x14ac:dyDescent="0.35"/>
  <cols>
    <col min="1" max="1" width="15.6328125" customWidth="1"/>
    <col min="2" max="2" width="11.26953125" customWidth="1"/>
    <col min="3" max="3" width="11.1796875" customWidth="1"/>
    <col min="4" max="4" width="16.36328125" customWidth="1"/>
    <col min="5" max="5" width="18.90625" customWidth="1"/>
  </cols>
  <sheetData>
    <row r="1" spans="1:5" ht="43.5" x14ac:dyDescent="0.35">
      <c r="A1" s="37" t="s">
        <v>38</v>
      </c>
      <c r="B1" s="24" t="s">
        <v>33</v>
      </c>
      <c r="C1" s="38" t="s">
        <v>30</v>
      </c>
      <c r="D1" s="38" t="s">
        <v>39</v>
      </c>
      <c r="E1" s="39" t="s">
        <v>41</v>
      </c>
    </row>
    <row r="2" spans="1:5" x14ac:dyDescent="0.35">
      <c r="A2" s="26">
        <v>1.8999999999999999E-10</v>
      </c>
      <c r="B2" s="27">
        <f>4/24/365.25</f>
        <v>4.5630846452201688E-4</v>
      </c>
      <c r="C2" s="28">
        <v>12591251</v>
      </c>
      <c r="D2" s="28">
        <f>A2*C2/B2*2</f>
        <v>10.48561609527</v>
      </c>
      <c r="E2" s="29">
        <f>D2*6000</f>
        <v>62913.696571619999</v>
      </c>
    </row>
    <row r="3" spans="1:5" x14ac:dyDescent="0.35">
      <c r="A3" s="26">
        <v>2.0000000000000001E-10</v>
      </c>
      <c r="B3" s="45">
        <f>3/24/365.25</f>
        <v>3.4223134839151266E-4</v>
      </c>
      <c r="C3" s="28">
        <v>12591251</v>
      </c>
      <c r="D3" s="28">
        <f t="shared" ref="D3:D4" si="0">A3*C3/B3*2</f>
        <v>14.716654168800002</v>
      </c>
      <c r="E3" s="29">
        <f>D3*6000</f>
        <v>88299.925012800013</v>
      </c>
    </row>
    <row r="4" spans="1:5" ht="15" thickBot="1" x14ac:dyDescent="0.4">
      <c r="A4" s="30">
        <v>2.1E-10</v>
      </c>
      <c r="B4" s="20">
        <f>2/24/365.25</f>
        <v>2.2815423226100844E-4</v>
      </c>
      <c r="C4" s="31">
        <v>12591251</v>
      </c>
      <c r="D4" s="31">
        <f t="shared" si="0"/>
        <v>23.178730315860001</v>
      </c>
      <c r="E4" s="32">
        <f>D4*6000</f>
        <v>139072.38189516001</v>
      </c>
    </row>
    <row r="6" spans="1:5" ht="29" x14ac:dyDescent="0.35">
      <c r="E6" s="74" t="s">
        <v>32</v>
      </c>
    </row>
    <row r="7" spans="1:5" x14ac:dyDescent="0.35">
      <c r="E7" s="17">
        <f>A2*C2</f>
        <v>2.3923376899999999E-3</v>
      </c>
    </row>
    <row r="8" spans="1:5" x14ac:dyDescent="0.35">
      <c r="E8" s="17">
        <f>A3*C3</f>
        <v>2.5182502000000002E-3</v>
      </c>
    </row>
    <row r="9" spans="1:5" x14ac:dyDescent="0.35">
      <c r="E9" s="17">
        <f>A4*C4</f>
        <v>2.64416271E-3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55" zoomScaleNormal="55" workbookViewId="0">
      <selection activeCell="A23" sqref="A23:B25"/>
    </sheetView>
  </sheetViews>
  <sheetFormatPr defaultRowHeight="14.5" x14ac:dyDescent="0.35"/>
  <cols>
    <col min="1" max="1" width="15" customWidth="1"/>
    <col min="2" max="2" width="16" customWidth="1"/>
    <col min="3" max="3" width="11" bestFit="1" customWidth="1"/>
    <col min="4" max="4" width="18.08984375" customWidth="1"/>
    <col min="5" max="5" width="18.1796875" customWidth="1"/>
    <col min="6" max="6" width="14.26953125" bestFit="1" customWidth="1"/>
    <col min="7" max="7" width="8.7265625" bestFit="1" customWidth="1"/>
    <col min="9" max="9" width="23.453125" bestFit="1" customWidth="1"/>
    <col min="13" max="13" width="12.1796875" bestFit="1" customWidth="1"/>
    <col min="17" max="17" width="9.7265625" bestFit="1" customWidth="1"/>
    <col min="19" max="20" width="9.453125" bestFit="1" customWidth="1"/>
  </cols>
  <sheetData>
    <row r="1" spans="1:20" ht="15" thickBot="1" x14ac:dyDescent="0.4">
      <c r="A1" s="84" t="s">
        <v>59</v>
      </c>
    </row>
    <row r="2" spans="1:20" ht="58" x14ac:dyDescent="0.35">
      <c r="A2" s="37" t="s">
        <v>38</v>
      </c>
      <c r="B2" s="38" t="s">
        <v>33</v>
      </c>
      <c r="C2" s="38" t="s">
        <v>30</v>
      </c>
      <c r="D2" s="38" t="s">
        <v>39</v>
      </c>
      <c r="E2" s="39" t="s">
        <v>40</v>
      </c>
    </row>
    <row r="3" spans="1:20" x14ac:dyDescent="0.35">
      <c r="A3" s="26">
        <v>1.0000000000000001E-9</v>
      </c>
      <c r="B3" s="27">
        <f>19/365.25</f>
        <v>5.2019164955509928E-2</v>
      </c>
      <c r="C3" s="28">
        <v>143726000</v>
      </c>
      <c r="D3" s="28">
        <f>A3*C3/B3*2</f>
        <v>5.5258864736842108</v>
      </c>
      <c r="E3" s="44">
        <f>D3*6000*2</f>
        <v>66310.637684210524</v>
      </c>
    </row>
    <row r="4" spans="1:20" x14ac:dyDescent="0.35">
      <c r="A4" s="26">
        <v>7.0500000000000003E-9</v>
      </c>
      <c r="B4" s="45">
        <f>13/365.25</f>
        <v>3.5592060232717319E-2</v>
      </c>
      <c r="C4" s="28">
        <v>143726000</v>
      </c>
      <c r="D4" s="28">
        <f t="shared" ref="D4:D5" si="0">A4*C4/B4*2</f>
        <v>56.937884088461537</v>
      </c>
      <c r="E4" s="44">
        <f t="shared" ref="E4:E5" si="1">D4*6000*2</f>
        <v>683254.60906153847</v>
      </c>
    </row>
    <row r="5" spans="1:20" ht="15" thickBot="1" x14ac:dyDescent="0.4">
      <c r="A5" s="30">
        <v>1.31E-8</v>
      </c>
      <c r="B5" s="20">
        <f>7/365.25</f>
        <v>1.9164955509924708E-2</v>
      </c>
      <c r="C5" s="31">
        <v>143726000</v>
      </c>
      <c r="D5" s="31">
        <f t="shared" si="0"/>
        <v>196.48473475714286</v>
      </c>
      <c r="E5" s="46">
        <f t="shared" si="1"/>
        <v>2357816.8170857145</v>
      </c>
    </row>
    <row r="7" spans="1:20" ht="15" thickBot="1" x14ac:dyDescent="0.4">
      <c r="H7" s="9"/>
      <c r="M7" s="4"/>
    </row>
    <row r="8" spans="1:20" ht="43.5" x14ac:dyDescent="0.35">
      <c r="A8" s="57" t="s">
        <v>15</v>
      </c>
      <c r="B8" s="38" t="s">
        <v>9</v>
      </c>
      <c r="C8" s="39" t="s">
        <v>10</v>
      </c>
      <c r="E8" s="60" t="s">
        <v>32</v>
      </c>
      <c r="F8" s="16"/>
      <c r="H8" s="9"/>
      <c r="M8" s="4"/>
    </row>
    <row r="9" spans="1:20" x14ac:dyDescent="0.35">
      <c r="A9" s="58" t="s">
        <v>0</v>
      </c>
      <c r="B9" s="27">
        <v>4.1000000000000002E-2</v>
      </c>
      <c r="C9" s="29">
        <f>B9*C3</f>
        <v>5892766</v>
      </c>
      <c r="E9" s="63">
        <f>A3*C3</f>
        <v>0.14372600000000002</v>
      </c>
      <c r="F9" s="6"/>
      <c r="H9" s="9"/>
      <c r="M9" s="4"/>
    </row>
    <row r="10" spans="1:20" x14ac:dyDescent="0.35">
      <c r="A10" s="58" t="s">
        <v>1</v>
      </c>
      <c r="B10" s="27">
        <v>4.2000000000000003E-2</v>
      </c>
      <c r="C10" s="29">
        <f t="shared" ref="C10:C11" si="2">B10*C4</f>
        <v>6036492</v>
      </c>
      <c r="E10" s="63">
        <f>A4*C4</f>
        <v>1.0132683</v>
      </c>
    </row>
    <row r="11" spans="1:20" ht="15" thickBot="1" x14ac:dyDescent="0.4">
      <c r="A11" s="59" t="s">
        <v>2</v>
      </c>
      <c r="B11" s="20">
        <v>5.3999999999999999E-2</v>
      </c>
      <c r="C11" s="32">
        <f t="shared" si="2"/>
        <v>7761204</v>
      </c>
      <c r="E11" s="64">
        <f>A5*C5</f>
        <v>1.8828106</v>
      </c>
      <c r="F11" s="6"/>
      <c r="G11" s="16"/>
    </row>
    <row r="14" spans="1:20" ht="15" thickBot="1" x14ac:dyDescent="0.4">
      <c r="A14" s="20"/>
      <c r="B14" s="20"/>
      <c r="C14" s="20"/>
      <c r="D14" s="20"/>
      <c r="E14" s="20"/>
      <c r="F14" s="20"/>
      <c r="G14" s="20"/>
      <c r="H14" s="20"/>
      <c r="I14" s="20"/>
    </row>
    <row r="15" spans="1:20" x14ac:dyDescent="0.35">
      <c r="D15" s="2"/>
      <c r="N15" s="5"/>
      <c r="S15" s="16"/>
      <c r="T15" s="16"/>
    </row>
    <row r="16" spans="1:20" ht="15" thickBot="1" x14ac:dyDescent="0.4">
      <c r="A16" s="84" t="s">
        <v>60</v>
      </c>
      <c r="J16" s="2"/>
      <c r="K16" s="2"/>
      <c r="P16" s="3"/>
      <c r="S16" s="4"/>
      <c r="T16" s="4"/>
    </row>
    <row r="17" spans="1:20" ht="58" x14ac:dyDescent="0.35">
      <c r="A17" s="37" t="s">
        <v>53</v>
      </c>
      <c r="B17" s="38" t="s">
        <v>33</v>
      </c>
      <c r="C17" s="38" t="s">
        <v>30</v>
      </c>
      <c r="D17" s="38" t="s">
        <v>54</v>
      </c>
      <c r="E17" s="39" t="s">
        <v>55</v>
      </c>
      <c r="J17" s="2"/>
      <c r="Q17" s="4"/>
      <c r="S17" s="4"/>
      <c r="T17" s="4"/>
    </row>
    <row r="18" spans="1:20" x14ac:dyDescent="0.35">
      <c r="A18" s="26">
        <v>2.85E-10</v>
      </c>
      <c r="B18" s="11">
        <v>5.2019164955509928E-2</v>
      </c>
      <c r="C18" s="28">
        <v>143726000</v>
      </c>
      <c r="D18" s="28">
        <f>A18/B18*C18*2</f>
        <v>1.5748776449999999</v>
      </c>
      <c r="E18" s="29">
        <f>D18*6000*2</f>
        <v>18898.531739999999</v>
      </c>
      <c r="J18" s="2"/>
      <c r="Q18" s="4"/>
    </row>
    <row r="19" spans="1:20" x14ac:dyDescent="0.35">
      <c r="A19" s="26">
        <f>(A18+A20)/2</f>
        <v>4.7425000000000001E-9</v>
      </c>
      <c r="B19" s="78">
        <v>3.5592060232717319E-2</v>
      </c>
      <c r="C19" s="28">
        <v>143726000</v>
      </c>
      <c r="D19" s="28">
        <f t="shared" ref="D19:D20" si="3">A19/B19*C19*2</f>
        <v>38.301831955961539</v>
      </c>
      <c r="E19" s="29">
        <f t="shared" ref="E19:E20" si="4">D19*6000*2</f>
        <v>459621.98347153846</v>
      </c>
      <c r="J19" s="2"/>
      <c r="N19" s="5"/>
      <c r="P19" s="15"/>
      <c r="S19" s="15"/>
      <c r="T19" s="15"/>
    </row>
    <row r="20" spans="1:20" ht="15" thickBot="1" x14ac:dyDescent="0.4">
      <c r="A20" s="30">
        <v>9.1999999999999997E-9</v>
      </c>
      <c r="B20" s="79">
        <v>1.9164955509924708E-2</v>
      </c>
      <c r="C20" s="31">
        <v>143726000</v>
      </c>
      <c r="D20" s="31">
        <f t="shared" si="3"/>
        <v>137.98927937142858</v>
      </c>
      <c r="E20" s="32">
        <f t="shared" si="4"/>
        <v>1655871.3524571429</v>
      </c>
      <c r="J20" s="2"/>
      <c r="S20" s="2"/>
      <c r="T20" s="2"/>
    </row>
    <row r="21" spans="1:20" x14ac:dyDescent="0.35">
      <c r="D21" s="1"/>
      <c r="J21" s="2"/>
      <c r="Q21" s="4"/>
    </row>
    <row r="22" spans="1:20" ht="15" thickBot="1" x14ac:dyDescent="0.4">
      <c r="J22" s="2"/>
    </row>
    <row r="23" spans="1:20" x14ac:dyDescent="0.35">
      <c r="A23" s="80" t="s">
        <v>56</v>
      </c>
      <c r="B23" s="18"/>
      <c r="C23" s="19"/>
      <c r="J23" s="2"/>
    </row>
    <row r="24" spans="1:20" ht="72.5" x14ac:dyDescent="0.35">
      <c r="A24" s="81" t="s">
        <v>58</v>
      </c>
      <c r="B24" s="27">
        <f>0.0021+0.0018</f>
        <v>3.8999999999999998E-3</v>
      </c>
      <c r="C24" s="41"/>
      <c r="J24" s="2"/>
    </row>
    <row r="25" spans="1:20" ht="29.5" thickBot="1" x14ac:dyDescent="0.4">
      <c r="A25" s="82" t="s">
        <v>57</v>
      </c>
      <c r="B25" s="36">
        <f>B24*C19</f>
        <v>560531.4</v>
      </c>
      <c r="C25" s="21"/>
      <c r="J25" s="2"/>
    </row>
    <row r="26" spans="1:20" x14ac:dyDescent="0.35">
      <c r="J26" s="2"/>
    </row>
    <row r="27" spans="1:20" x14ac:dyDescent="0.35">
      <c r="J27" s="2"/>
      <c r="M27" s="14"/>
    </row>
    <row r="28" spans="1:20" x14ac:dyDescent="0.35">
      <c r="J28" s="2"/>
      <c r="M28" s="14"/>
    </row>
    <row r="29" spans="1:20" x14ac:dyDescent="0.35">
      <c r="J29" s="2"/>
      <c r="M29" s="14"/>
    </row>
    <row r="30" spans="1:20" x14ac:dyDescent="0.35">
      <c r="F30" s="4"/>
      <c r="J30" s="2"/>
    </row>
    <row r="31" spans="1:20" x14ac:dyDescent="0.35">
      <c r="F31" s="4"/>
      <c r="J31" s="2"/>
      <c r="M31" s="14"/>
    </row>
    <row r="32" spans="1:20" x14ac:dyDescent="0.35">
      <c r="J32" s="2"/>
      <c r="M32" s="14"/>
    </row>
    <row r="33" spans="4:10" x14ac:dyDescent="0.35">
      <c r="E33" s="4"/>
      <c r="J33" s="2"/>
    </row>
    <row r="34" spans="4:10" x14ac:dyDescent="0.35">
      <c r="D34" s="7"/>
      <c r="E34" s="4"/>
      <c r="J34" s="2"/>
    </row>
    <row r="35" spans="4:10" x14ac:dyDescent="0.35">
      <c r="J35" s="2"/>
    </row>
    <row r="36" spans="4:10" x14ac:dyDescent="0.35">
      <c r="J36" s="2"/>
    </row>
    <row r="37" spans="4:10" x14ac:dyDescent="0.35">
      <c r="J37" s="2"/>
    </row>
    <row r="38" spans="4:10" x14ac:dyDescent="0.35">
      <c r="J38" s="2"/>
    </row>
    <row r="39" spans="4:10" x14ac:dyDescent="0.35">
      <c r="J39" s="2"/>
    </row>
  </sheetData>
  <sortState ref="D13:D15">
    <sortCondition descending="1" ref="D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2" sqref="E2"/>
    </sheetView>
  </sheetViews>
  <sheetFormatPr defaultRowHeight="14.5" x14ac:dyDescent="0.35"/>
  <cols>
    <col min="1" max="1" width="14.90625" customWidth="1"/>
    <col min="2" max="2" width="13.90625" customWidth="1"/>
    <col min="3" max="4" width="15.81640625" customWidth="1"/>
    <col min="5" max="5" width="18.6328125" customWidth="1"/>
  </cols>
  <sheetData>
    <row r="1" spans="1:5" ht="43.5" x14ac:dyDescent="0.35">
      <c r="A1" s="23" t="s">
        <v>38</v>
      </c>
      <c r="B1" s="24" t="s">
        <v>33</v>
      </c>
      <c r="C1" s="24" t="s">
        <v>30</v>
      </c>
      <c r="D1" s="24" t="s">
        <v>39</v>
      </c>
      <c r="E1" s="25" t="s">
        <v>41</v>
      </c>
    </row>
    <row r="2" spans="1:5" x14ac:dyDescent="0.35">
      <c r="A2" s="26">
        <v>4.0000000000000002E-9</v>
      </c>
      <c r="B2" s="45">
        <f>13/365.25</f>
        <v>3.5592060232717319E-2</v>
      </c>
      <c r="C2" s="28">
        <v>197206000</v>
      </c>
      <c r="D2" s="65">
        <f>A2/B2*C2*2</f>
        <v>44.325840923076925</v>
      </c>
      <c r="E2" s="67">
        <f>D2*6000</f>
        <v>265955.04553846153</v>
      </c>
    </row>
    <row r="3" spans="1:5" x14ac:dyDescent="0.35">
      <c r="A3" s="26">
        <v>4.0000000000000002E-9</v>
      </c>
      <c r="B3" s="45">
        <f>9/365.25</f>
        <v>2.4640657084188913E-2</v>
      </c>
      <c r="C3" s="28">
        <v>197206000</v>
      </c>
      <c r="D3" s="65">
        <f>A3/B3*C3*2</f>
        <v>64.026214666666675</v>
      </c>
      <c r="E3" s="67">
        <f>D3*6000</f>
        <v>384157.28800000006</v>
      </c>
    </row>
    <row r="4" spans="1:5" ht="15" thickBot="1" x14ac:dyDescent="0.4">
      <c r="A4" s="30">
        <v>4.0000000000000002E-9</v>
      </c>
      <c r="B4" s="68">
        <f>5/365.25</f>
        <v>1.3689253935660506E-2</v>
      </c>
      <c r="C4" s="31">
        <v>197206000</v>
      </c>
      <c r="D4" s="66">
        <f>A4/B4*C4*2</f>
        <v>115.24718640000002</v>
      </c>
      <c r="E4" s="69">
        <f>D4*6000</f>
        <v>691483.11840000015</v>
      </c>
    </row>
    <row r="7" spans="1:5" ht="15" thickBot="1" x14ac:dyDescent="0.4"/>
    <row r="8" spans="1:5" ht="43.5" x14ac:dyDescent="0.35">
      <c r="A8" s="37" t="s">
        <v>35</v>
      </c>
      <c r="B8" s="39" t="s">
        <v>36</v>
      </c>
      <c r="E8" s="60" t="s">
        <v>32</v>
      </c>
    </row>
    <row r="9" spans="1:5" ht="15" thickBot="1" x14ac:dyDescent="0.4">
      <c r="A9" s="52">
        <v>0.01</v>
      </c>
      <c r="B9" s="29">
        <f>A9*C2</f>
        <v>1972060</v>
      </c>
      <c r="E9" s="64">
        <f>A4*C4</f>
        <v>0.78882400000000008</v>
      </c>
    </row>
    <row r="10" spans="1:5" x14ac:dyDescent="0.35">
      <c r="A10" s="52">
        <v>0.02</v>
      </c>
      <c r="B10" s="29">
        <f>A10*C3</f>
        <v>3944120</v>
      </c>
    </row>
    <row r="11" spans="1:5" ht="15" thickBot="1" x14ac:dyDescent="0.4">
      <c r="A11" s="49">
        <v>0.03</v>
      </c>
      <c r="B11" s="32">
        <f>A11*C4</f>
        <v>5916180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70" zoomScaleNormal="70" workbookViewId="0">
      <selection activeCell="E4" sqref="E4"/>
    </sheetView>
  </sheetViews>
  <sheetFormatPr defaultRowHeight="14.5" x14ac:dyDescent="0.35"/>
  <cols>
    <col min="1" max="1" width="21.453125" customWidth="1"/>
    <col min="2" max="2" width="13" customWidth="1"/>
    <col min="4" max="4" width="17.6328125" customWidth="1"/>
    <col min="5" max="5" width="16.81640625" customWidth="1"/>
    <col min="8" max="8" width="18.36328125" customWidth="1"/>
    <col min="9" max="9" width="12.08984375" customWidth="1"/>
    <col min="10" max="10" width="9.08984375" customWidth="1"/>
    <col min="11" max="11" width="16.36328125" customWidth="1"/>
    <col min="12" max="12" width="15.7265625" customWidth="1"/>
    <col min="13" max="13" width="17.26953125" customWidth="1"/>
  </cols>
  <sheetData>
    <row r="1" spans="1:15" x14ac:dyDescent="0.35">
      <c r="A1" s="83" t="s">
        <v>5</v>
      </c>
      <c r="B1" s="18"/>
      <c r="C1" s="18"/>
      <c r="D1" s="18"/>
      <c r="E1" s="19"/>
      <c r="H1" s="83" t="s">
        <v>3</v>
      </c>
      <c r="I1" s="18"/>
      <c r="J1" s="18"/>
      <c r="K1" s="18"/>
      <c r="L1" s="19"/>
    </row>
    <row r="2" spans="1:15" x14ac:dyDescent="0.35">
      <c r="A2" s="42" t="s">
        <v>42</v>
      </c>
      <c r="B2" s="27"/>
      <c r="C2" s="27"/>
      <c r="D2" s="27"/>
      <c r="E2" s="41"/>
      <c r="H2" s="42" t="s">
        <v>42</v>
      </c>
      <c r="I2" s="27"/>
      <c r="J2" s="27"/>
      <c r="K2" s="27"/>
      <c r="L2" s="41"/>
    </row>
    <row r="3" spans="1:15" ht="58" x14ac:dyDescent="0.35">
      <c r="A3" s="23" t="s">
        <v>6</v>
      </c>
      <c r="B3" s="24" t="s">
        <v>33</v>
      </c>
      <c r="C3" s="24" t="s">
        <v>31</v>
      </c>
      <c r="D3" s="24" t="s">
        <v>8</v>
      </c>
      <c r="E3" s="25" t="s">
        <v>20</v>
      </c>
      <c r="H3" s="23" t="s">
        <v>6</v>
      </c>
      <c r="I3" s="24" t="s">
        <v>33</v>
      </c>
      <c r="J3" s="24" t="s">
        <v>30</v>
      </c>
      <c r="K3" s="24" t="s">
        <v>67</v>
      </c>
      <c r="L3" s="25" t="s">
        <v>20</v>
      </c>
    </row>
    <row r="4" spans="1:15" x14ac:dyDescent="0.35">
      <c r="A4" s="26">
        <v>1.8E-9</v>
      </c>
      <c r="B4" s="28">
        <f>100/60/24/365.25</f>
        <v>1.9012852688417371E-4</v>
      </c>
      <c r="C4" s="33">
        <v>82000</v>
      </c>
      <c r="D4" s="28">
        <f>A4*C4/B4</f>
        <v>0.77631696000000006</v>
      </c>
      <c r="E4" s="29">
        <f>D4*6000*2</f>
        <v>9315.8035200000013</v>
      </c>
      <c r="H4" s="26">
        <v>1.6300000000000001E-10</v>
      </c>
      <c r="I4" s="28">
        <f>100/60/24/365.25</f>
        <v>1.9012852688417371E-4</v>
      </c>
      <c r="J4" s="28">
        <v>14270000</v>
      </c>
      <c r="K4" s="28">
        <f>H4*J4/I4*2</f>
        <v>24.467764391999999</v>
      </c>
      <c r="L4" s="29">
        <f>K4*6000*2</f>
        <v>293613.17270399997</v>
      </c>
    </row>
    <row r="5" spans="1:15" x14ac:dyDescent="0.35">
      <c r="A5" s="26">
        <v>1.22E-8</v>
      </c>
      <c r="B5" s="28">
        <f>100/60/24/365.25</f>
        <v>1.9012852688417371E-4</v>
      </c>
      <c r="C5" s="33">
        <v>82000</v>
      </c>
      <c r="D5" s="28">
        <f>A5*C5/B5</f>
        <v>5.26170384</v>
      </c>
      <c r="E5" s="29">
        <f t="shared" ref="E5:E6" si="0">D5*6000*2</f>
        <v>63140.446080000002</v>
      </c>
      <c r="H5" s="26">
        <v>3.3E-10</v>
      </c>
      <c r="I5" s="28">
        <f>100/60/24/365.25</f>
        <v>1.9012852688417371E-4</v>
      </c>
      <c r="J5" s="28">
        <v>14270000</v>
      </c>
      <c r="K5" s="28">
        <f>H5*J5/I5*2</f>
        <v>49.535964719999996</v>
      </c>
      <c r="L5" s="29">
        <f t="shared" ref="L5:L6" si="1">K5*6000*2</f>
        <v>594431.57663999998</v>
      </c>
    </row>
    <row r="6" spans="1:15" ht="15" thickBot="1" x14ac:dyDescent="0.4">
      <c r="A6" s="30">
        <v>1.6499999999999999E-8</v>
      </c>
      <c r="B6" s="31">
        <f>100/60/24/365.25</f>
        <v>1.9012852688417371E-4</v>
      </c>
      <c r="C6" s="36">
        <v>82000</v>
      </c>
      <c r="D6" s="31">
        <f>A6*C6/B6</f>
        <v>7.1162387999999988</v>
      </c>
      <c r="E6" s="32">
        <f t="shared" si="0"/>
        <v>85394.86559999999</v>
      </c>
      <c r="H6" s="30">
        <v>4.0999999999999998E-10</v>
      </c>
      <c r="I6" s="31">
        <f>100/60/24/365.25</f>
        <v>1.9012852688417371E-4</v>
      </c>
      <c r="J6" s="31">
        <v>14270000</v>
      </c>
      <c r="K6" s="31">
        <f>H6*J6/I6*2</f>
        <v>61.544683439999993</v>
      </c>
      <c r="L6" s="32">
        <f t="shared" si="1"/>
        <v>738536.20127999992</v>
      </c>
    </row>
    <row r="7" spans="1:15" ht="15" thickBot="1" x14ac:dyDescent="0.4">
      <c r="A7" s="8"/>
    </row>
    <row r="8" spans="1:15" ht="58" x14ac:dyDescent="0.35">
      <c r="A8" s="37" t="s">
        <v>12</v>
      </c>
      <c r="B8" s="19"/>
      <c r="H8" s="37" t="s">
        <v>11</v>
      </c>
      <c r="I8" s="18"/>
      <c r="J8" s="18"/>
      <c r="K8" s="19"/>
      <c r="M8" s="60" t="s">
        <v>32</v>
      </c>
      <c r="N8" s="22"/>
      <c r="O8" s="16"/>
    </row>
    <row r="9" spans="1:15" ht="43.5" x14ac:dyDescent="0.35">
      <c r="A9" s="47" t="s">
        <v>4</v>
      </c>
      <c r="B9" s="25" t="s">
        <v>13</v>
      </c>
      <c r="H9" s="47" t="s">
        <v>4</v>
      </c>
      <c r="I9" s="75" t="s">
        <v>43</v>
      </c>
      <c r="J9" s="24" t="s">
        <v>45</v>
      </c>
      <c r="K9" s="25" t="s">
        <v>46</v>
      </c>
      <c r="M9" s="61">
        <f>H4*J4</f>
        <v>2.3260099999999999E-3</v>
      </c>
      <c r="N9" s="16"/>
      <c r="O9" s="4"/>
    </row>
    <row r="10" spans="1:15" ht="15" thickBot="1" x14ac:dyDescent="0.4">
      <c r="A10" s="48">
        <v>93.183000000000007</v>
      </c>
      <c r="B10" s="32">
        <f>(100-A10)/100*C6</f>
        <v>5589.9399999999941</v>
      </c>
      <c r="H10" s="52">
        <v>90</v>
      </c>
      <c r="I10" s="27">
        <v>70</v>
      </c>
      <c r="J10" s="27">
        <f>(100-H10)/100*(100-I10)/100</f>
        <v>0.03</v>
      </c>
      <c r="K10" s="55">
        <f>J10*J4</f>
        <v>428100</v>
      </c>
      <c r="M10" s="61">
        <f>H5*J5</f>
        <v>4.7090999999999999E-3</v>
      </c>
      <c r="N10" s="17"/>
      <c r="O10" s="4"/>
    </row>
    <row r="11" spans="1:15" ht="15" thickBot="1" x14ac:dyDescent="0.4">
      <c r="H11" s="52">
        <v>80</v>
      </c>
      <c r="I11" s="27">
        <v>30</v>
      </c>
      <c r="J11" s="27">
        <f>(100-H11)/100*(100-I11)/100</f>
        <v>0.14000000000000001</v>
      </c>
      <c r="K11" s="55">
        <f>J11*J5</f>
        <v>1997800.0000000002</v>
      </c>
      <c r="M11" s="62">
        <f>H6*J6</f>
        <v>5.8506999999999995E-3</v>
      </c>
    </row>
    <row r="12" spans="1:15" ht="15" thickBot="1" x14ac:dyDescent="0.4">
      <c r="D12" s="4"/>
      <c r="H12" s="49"/>
      <c r="I12" s="20"/>
      <c r="J12" s="76" t="s">
        <v>44</v>
      </c>
      <c r="K12" s="56">
        <f>K11+K10</f>
        <v>2425900</v>
      </c>
    </row>
    <row r="13" spans="1:15" ht="72.5" x14ac:dyDescent="0.35">
      <c r="A13" s="37" t="s">
        <v>16</v>
      </c>
      <c r="B13" s="18"/>
      <c r="C13" s="18"/>
      <c r="D13" s="50"/>
    </row>
    <row r="14" spans="1:15" x14ac:dyDescent="0.35">
      <c r="A14" s="42" t="s">
        <v>17</v>
      </c>
      <c r="B14" s="51" t="s">
        <v>18</v>
      </c>
      <c r="C14" s="51" t="s">
        <v>19</v>
      </c>
      <c r="D14" s="41"/>
    </row>
    <row r="15" spans="1:15" x14ac:dyDescent="0.35">
      <c r="A15" s="52"/>
      <c r="B15" s="27"/>
      <c r="C15" s="27"/>
      <c r="D15" s="41"/>
    </row>
    <row r="16" spans="1:15" x14ac:dyDescent="0.35">
      <c r="A16" s="52">
        <v>2589</v>
      </c>
      <c r="B16" s="27">
        <v>92</v>
      </c>
      <c r="C16" s="53">
        <f>B16/100*A16</f>
        <v>2381.88</v>
      </c>
      <c r="D16" s="41"/>
    </row>
    <row r="17" spans="1:13" x14ac:dyDescent="0.35">
      <c r="A17" s="52">
        <v>236</v>
      </c>
      <c r="B17" s="27">
        <v>86</v>
      </c>
      <c r="C17" s="53">
        <f t="shared" ref="C17:C80" si="2">B17/100*A17</f>
        <v>202.96</v>
      </c>
      <c r="D17" s="41"/>
    </row>
    <row r="18" spans="1:13" x14ac:dyDescent="0.35">
      <c r="A18" s="52">
        <v>543</v>
      </c>
      <c r="B18" s="27">
        <v>90</v>
      </c>
      <c r="C18" s="53">
        <f t="shared" si="2"/>
        <v>488.7</v>
      </c>
      <c r="D18" s="41"/>
      <c r="L18" s="4"/>
      <c r="M18" s="4"/>
    </row>
    <row r="19" spans="1:13" x14ac:dyDescent="0.35">
      <c r="A19" s="52">
        <v>76</v>
      </c>
      <c r="B19" s="27">
        <v>100</v>
      </c>
      <c r="C19" s="53">
        <f t="shared" si="2"/>
        <v>76</v>
      </c>
      <c r="D19" s="41"/>
      <c r="K19" s="4"/>
    </row>
    <row r="20" spans="1:13" x14ac:dyDescent="0.35">
      <c r="A20" s="52">
        <v>76</v>
      </c>
      <c r="B20" s="27">
        <v>97</v>
      </c>
      <c r="C20" s="53">
        <f t="shared" si="2"/>
        <v>73.72</v>
      </c>
      <c r="D20" s="41"/>
    </row>
    <row r="21" spans="1:13" x14ac:dyDescent="0.35">
      <c r="A21" s="52">
        <v>75</v>
      </c>
      <c r="B21" s="27">
        <v>100</v>
      </c>
      <c r="C21" s="53">
        <f t="shared" si="2"/>
        <v>75</v>
      </c>
      <c r="D21" s="41"/>
    </row>
    <row r="22" spans="1:13" x14ac:dyDescent="0.35">
      <c r="A22" s="52">
        <v>85</v>
      </c>
      <c r="B22" s="27">
        <v>100</v>
      </c>
      <c r="C22" s="53">
        <f t="shared" si="2"/>
        <v>85</v>
      </c>
      <c r="D22" s="41"/>
    </row>
    <row r="23" spans="1:13" x14ac:dyDescent="0.35">
      <c r="A23" s="52">
        <v>76</v>
      </c>
      <c r="B23" s="27">
        <v>100</v>
      </c>
      <c r="C23" s="53">
        <f t="shared" si="2"/>
        <v>76</v>
      </c>
      <c r="D23" s="41"/>
    </row>
    <row r="24" spans="1:13" x14ac:dyDescent="0.35">
      <c r="A24" s="52">
        <v>74</v>
      </c>
      <c r="B24" s="27">
        <v>100</v>
      </c>
      <c r="C24" s="53">
        <f t="shared" si="2"/>
        <v>74</v>
      </c>
      <c r="D24" s="41"/>
    </row>
    <row r="25" spans="1:13" x14ac:dyDescent="0.35">
      <c r="A25" s="52">
        <v>73</v>
      </c>
      <c r="B25" s="27">
        <v>100</v>
      </c>
      <c r="C25" s="53">
        <f t="shared" si="2"/>
        <v>73</v>
      </c>
      <c r="D25" s="41"/>
    </row>
    <row r="26" spans="1:13" x14ac:dyDescent="0.35">
      <c r="A26" s="52">
        <v>75</v>
      </c>
      <c r="B26" s="27">
        <v>99</v>
      </c>
      <c r="C26" s="53">
        <f t="shared" si="2"/>
        <v>74.25</v>
      </c>
      <c r="D26" s="41"/>
    </row>
    <row r="27" spans="1:13" x14ac:dyDescent="0.35">
      <c r="A27" s="52">
        <v>75</v>
      </c>
      <c r="B27" s="27">
        <v>100</v>
      </c>
      <c r="C27" s="53">
        <f t="shared" si="2"/>
        <v>75</v>
      </c>
      <c r="D27" s="41"/>
    </row>
    <row r="28" spans="1:13" x14ac:dyDescent="0.35">
      <c r="A28" s="52">
        <v>86</v>
      </c>
      <c r="B28" s="27">
        <v>100</v>
      </c>
      <c r="C28" s="53">
        <f t="shared" si="2"/>
        <v>86</v>
      </c>
      <c r="D28" s="41"/>
    </row>
    <row r="29" spans="1:13" x14ac:dyDescent="0.35">
      <c r="A29" s="52">
        <v>74</v>
      </c>
      <c r="B29" s="27">
        <v>100</v>
      </c>
      <c r="C29" s="53">
        <f t="shared" si="2"/>
        <v>74</v>
      </c>
      <c r="D29" s="41"/>
    </row>
    <row r="30" spans="1:13" x14ac:dyDescent="0.35">
      <c r="A30" s="52">
        <v>76</v>
      </c>
      <c r="B30" s="27">
        <v>99</v>
      </c>
      <c r="C30" s="53">
        <f t="shared" si="2"/>
        <v>75.239999999999995</v>
      </c>
      <c r="D30" s="41"/>
    </row>
    <row r="31" spans="1:13" x14ac:dyDescent="0.35">
      <c r="A31" s="52">
        <v>76</v>
      </c>
      <c r="B31" s="27">
        <v>100</v>
      </c>
      <c r="C31" s="53">
        <f t="shared" si="2"/>
        <v>76</v>
      </c>
      <c r="D31" s="41"/>
    </row>
    <row r="32" spans="1:13" x14ac:dyDescent="0.35">
      <c r="A32" s="52">
        <v>84</v>
      </c>
      <c r="B32" s="27">
        <v>100</v>
      </c>
      <c r="C32" s="53">
        <f t="shared" si="2"/>
        <v>84</v>
      </c>
      <c r="D32" s="41"/>
    </row>
    <row r="33" spans="1:4" x14ac:dyDescent="0.35">
      <c r="A33" s="52">
        <v>71</v>
      </c>
      <c r="B33" s="27">
        <v>99</v>
      </c>
      <c r="C33" s="53">
        <f t="shared" si="2"/>
        <v>70.290000000000006</v>
      </c>
      <c r="D33" s="41"/>
    </row>
    <row r="34" spans="1:4" x14ac:dyDescent="0.35">
      <c r="A34" s="52">
        <v>76</v>
      </c>
      <c r="B34" s="27">
        <v>100</v>
      </c>
      <c r="C34" s="53">
        <f t="shared" si="2"/>
        <v>76</v>
      </c>
      <c r="D34" s="41"/>
    </row>
    <row r="35" spans="1:4" x14ac:dyDescent="0.35">
      <c r="A35" s="52">
        <v>756</v>
      </c>
      <c r="B35" s="27">
        <v>97</v>
      </c>
      <c r="C35" s="53">
        <f t="shared" si="2"/>
        <v>733.31999999999994</v>
      </c>
      <c r="D35" s="41"/>
    </row>
    <row r="36" spans="1:4" x14ac:dyDescent="0.35">
      <c r="A36" s="52">
        <v>1413</v>
      </c>
      <c r="B36" s="27">
        <v>82</v>
      </c>
      <c r="C36" s="53">
        <f t="shared" si="2"/>
        <v>1158.6599999999999</v>
      </c>
      <c r="D36" s="41"/>
    </row>
    <row r="37" spans="1:4" x14ac:dyDescent="0.35">
      <c r="A37" s="52">
        <v>268</v>
      </c>
      <c r="B37" s="27">
        <v>92</v>
      </c>
      <c r="C37" s="53">
        <f t="shared" si="2"/>
        <v>246.56</v>
      </c>
      <c r="D37" s="41"/>
    </row>
    <row r="38" spans="1:4" x14ac:dyDescent="0.35">
      <c r="A38" s="52">
        <v>267</v>
      </c>
      <c r="B38" s="27">
        <v>94</v>
      </c>
      <c r="C38" s="53">
        <f t="shared" si="2"/>
        <v>250.98</v>
      </c>
      <c r="D38" s="41"/>
    </row>
    <row r="39" spans="1:4" x14ac:dyDescent="0.35">
      <c r="A39" s="52"/>
      <c r="B39" s="27"/>
      <c r="C39" s="53">
        <f t="shared" si="2"/>
        <v>0</v>
      </c>
      <c r="D39" s="41"/>
    </row>
    <row r="40" spans="1:4" x14ac:dyDescent="0.35">
      <c r="A40" s="52">
        <v>205</v>
      </c>
      <c r="B40" s="27">
        <v>98</v>
      </c>
      <c r="C40" s="53">
        <f t="shared" si="2"/>
        <v>200.9</v>
      </c>
      <c r="D40" s="41"/>
    </row>
    <row r="41" spans="1:4" x14ac:dyDescent="0.35">
      <c r="A41" s="52">
        <v>2484</v>
      </c>
      <c r="B41" s="27">
        <v>95</v>
      </c>
      <c r="C41" s="53">
        <f t="shared" si="2"/>
        <v>2359.7999999999997</v>
      </c>
      <c r="D41" s="41"/>
    </row>
    <row r="42" spans="1:4" x14ac:dyDescent="0.35">
      <c r="A42" s="52"/>
      <c r="B42" s="27"/>
      <c r="C42" s="53">
        <f t="shared" si="2"/>
        <v>0</v>
      </c>
      <c r="D42" s="41"/>
    </row>
    <row r="43" spans="1:4" x14ac:dyDescent="0.35">
      <c r="A43" s="52">
        <v>181</v>
      </c>
      <c r="B43" s="27">
        <v>97</v>
      </c>
      <c r="C43" s="53">
        <f t="shared" si="2"/>
        <v>175.57</v>
      </c>
      <c r="D43" s="41"/>
    </row>
    <row r="44" spans="1:4" x14ac:dyDescent="0.35">
      <c r="A44" s="52"/>
      <c r="B44" s="27"/>
      <c r="C44" s="53">
        <f t="shared" si="2"/>
        <v>0</v>
      </c>
      <c r="D44" s="41"/>
    </row>
    <row r="45" spans="1:4" x14ac:dyDescent="0.35">
      <c r="A45" s="52">
        <v>721</v>
      </c>
      <c r="B45" s="27">
        <v>98</v>
      </c>
      <c r="C45" s="53">
        <f t="shared" si="2"/>
        <v>706.58</v>
      </c>
      <c r="D45" s="41"/>
    </row>
    <row r="46" spans="1:4" x14ac:dyDescent="0.35">
      <c r="A46" s="52">
        <v>1533</v>
      </c>
      <c r="B46" s="27">
        <v>97</v>
      </c>
      <c r="C46" s="53">
        <f t="shared" si="2"/>
        <v>1487.01</v>
      </c>
      <c r="D46" s="41"/>
    </row>
    <row r="47" spans="1:4" x14ac:dyDescent="0.35">
      <c r="A47" s="52"/>
      <c r="B47" s="27"/>
      <c r="C47" s="53">
        <f t="shared" si="2"/>
        <v>0</v>
      </c>
      <c r="D47" s="41"/>
    </row>
    <row r="48" spans="1:4" x14ac:dyDescent="0.35">
      <c r="A48" s="52">
        <v>25</v>
      </c>
      <c r="B48" s="27">
        <v>100</v>
      </c>
      <c r="C48" s="53">
        <f t="shared" si="2"/>
        <v>25</v>
      </c>
      <c r="D48" s="41"/>
    </row>
    <row r="49" spans="1:4" x14ac:dyDescent="0.35">
      <c r="A49" s="52">
        <v>886</v>
      </c>
      <c r="B49" s="27">
        <v>98</v>
      </c>
      <c r="C49" s="53">
        <f t="shared" si="2"/>
        <v>868.28</v>
      </c>
      <c r="D49" s="41"/>
    </row>
    <row r="50" spans="1:4" x14ac:dyDescent="0.35">
      <c r="A50" s="52">
        <v>473</v>
      </c>
      <c r="B50" s="27">
        <v>99</v>
      </c>
      <c r="C50" s="53">
        <f t="shared" si="2"/>
        <v>468.27</v>
      </c>
      <c r="D50" s="41"/>
    </row>
    <row r="51" spans="1:4" x14ac:dyDescent="0.35">
      <c r="A51" s="52">
        <v>147</v>
      </c>
      <c r="B51" s="27">
        <v>99</v>
      </c>
      <c r="C51" s="53">
        <f t="shared" si="2"/>
        <v>145.53</v>
      </c>
      <c r="D51" s="41"/>
    </row>
    <row r="52" spans="1:4" x14ac:dyDescent="0.35">
      <c r="A52" s="52">
        <v>780</v>
      </c>
      <c r="B52" s="27">
        <v>97</v>
      </c>
      <c r="C52" s="53">
        <f t="shared" si="2"/>
        <v>756.6</v>
      </c>
      <c r="D52" s="41"/>
    </row>
    <row r="53" spans="1:4" x14ac:dyDescent="0.35">
      <c r="A53" s="52">
        <v>267</v>
      </c>
      <c r="B53" s="27">
        <v>94</v>
      </c>
      <c r="C53" s="53">
        <f t="shared" si="2"/>
        <v>250.98</v>
      </c>
      <c r="D53" s="41"/>
    </row>
    <row r="54" spans="1:4" x14ac:dyDescent="0.35">
      <c r="A54" s="52">
        <v>307</v>
      </c>
      <c r="B54" s="27">
        <v>74</v>
      </c>
      <c r="C54" s="53">
        <f t="shared" si="2"/>
        <v>227.18</v>
      </c>
      <c r="D54" s="41"/>
    </row>
    <row r="55" spans="1:4" x14ac:dyDescent="0.35">
      <c r="A55" s="52">
        <v>165</v>
      </c>
      <c r="B55" s="27">
        <v>89</v>
      </c>
      <c r="C55" s="53">
        <f t="shared" si="2"/>
        <v>146.85</v>
      </c>
      <c r="D55" s="41"/>
    </row>
    <row r="56" spans="1:4" x14ac:dyDescent="0.35">
      <c r="A56" s="52">
        <v>75</v>
      </c>
      <c r="B56" s="27">
        <v>100</v>
      </c>
      <c r="C56" s="53">
        <f t="shared" si="2"/>
        <v>75</v>
      </c>
      <c r="D56" s="41"/>
    </row>
    <row r="57" spans="1:4" x14ac:dyDescent="0.35">
      <c r="A57" s="52"/>
      <c r="B57" s="27"/>
      <c r="C57" s="53">
        <f t="shared" si="2"/>
        <v>0</v>
      </c>
      <c r="D57" s="41"/>
    </row>
    <row r="58" spans="1:4" x14ac:dyDescent="0.35">
      <c r="A58" s="52">
        <v>393</v>
      </c>
      <c r="B58" s="27">
        <v>97</v>
      </c>
      <c r="C58" s="53">
        <f t="shared" si="2"/>
        <v>381.21</v>
      </c>
      <c r="D58" s="41"/>
    </row>
    <row r="59" spans="1:4" x14ac:dyDescent="0.35">
      <c r="A59" s="52"/>
      <c r="B59" s="27"/>
      <c r="C59" s="53">
        <f t="shared" si="2"/>
        <v>0</v>
      </c>
      <c r="D59" s="41"/>
    </row>
    <row r="60" spans="1:4" x14ac:dyDescent="0.35">
      <c r="A60" s="52">
        <v>22</v>
      </c>
      <c r="B60" s="27">
        <v>100</v>
      </c>
      <c r="C60" s="53">
        <f t="shared" si="2"/>
        <v>22</v>
      </c>
      <c r="D60" s="41"/>
    </row>
    <row r="61" spans="1:4" x14ac:dyDescent="0.35">
      <c r="A61" s="52">
        <v>785</v>
      </c>
      <c r="B61" s="27">
        <v>97</v>
      </c>
      <c r="C61" s="53">
        <f t="shared" si="2"/>
        <v>761.44999999999993</v>
      </c>
      <c r="D61" s="41"/>
    </row>
    <row r="62" spans="1:4" x14ac:dyDescent="0.35">
      <c r="A62" s="52">
        <v>14</v>
      </c>
      <c r="B62" s="27">
        <v>100</v>
      </c>
      <c r="C62" s="53">
        <f t="shared" si="2"/>
        <v>14</v>
      </c>
      <c r="D62" s="41"/>
    </row>
    <row r="63" spans="1:4" x14ac:dyDescent="0.35">
      <c r="A63" s="52">
        <v>1409</v>
      </c>
      <c r="B63" s="27">
        <v>78</v>
      </c>
      <c r="C63" s="53">
        <f t="shared" si="2"/>
        <v>1099.02</v>
      </c>
      <c r="D63" s="41"/>
    </row>
    <row r="64" spans="1:4" x14ac:dyDescent="0.35">
      <c r="A64" s="52"/>
      <c r="B64" s="27"/>
      <c r="C64" s="53">
        <f t="shared" si="2"/>
        <v>0</v>
      </c>
      <c r="D64" s="41"/>
    </row>
    <row r="65" spans="1:4" x14ac:dyDescent="0.35">
      <c r="A65" s="52">
        <v>77</v>
      </c>
      <c r="B65" s="27">
        <v>99</v>
      </c>
      <c r="C65" s="53">
        <f t="shared" si="2"/>
        <v>76.23</v>
      </c>
      <c r="D65" s="41"/>
    </row>
    <row r="66" spans="1:4" x14ac:dyDescent="0.35">
      <c r="A66" s="52">
        <v>1621</v>
      </c>
      <c r="B66" s="27">
        <v>97</v>
      </c>
      <c r="C66" s="53">
        <f t="shared" si="2"/>
        <v>1572.37</v>
      </c>
      <c r="D66" s="41"/>
    </row>
    <row r="67" spans="1:4" x14ac:dyDescent="0.35">
      <c r="A67" s="52"/>
      <c r="B67" s="27"/>
      <c r="C67" s="53">
        <f t="shared" si="2"/>
        <v>0</v>
      </c>
      <c r="D67" s="41"/>
    </row>
    <row r="68" spans="1:4" x14ac:dyDescent="0.35">
      <c r="A68" s="52">
        <v>652</v>
      </c>
      <c r="B68" s="27">
        <v>98</v>
      </c>
      <c r="C68" s="53">
        <f t="shared" si="2"/>
        <v>638.96</v>
      </c>
      <c r="D68" s="41"/>
    </row>
    <row r="69" spans="1:4" x14ac:dyDescent="0.35">
      <c r="A69" s="52">
        <v>267</v>
      </c>
      <c r="B69" s="27">
        <v>88</v>
      </c>
      <c r="C69" s="53">
        <f t="shared" si="2"/>
        <v>234.96</v>
      </c>
      <c r="D69" s="41"/>
    </row>
    <row r="70" spans="1:4" x14ac:dyDescent="0.35">
      <c r="A70" s="52">
        <v>231</v>
      </c>
      <c r="B70" s="27">
        <v>99</v>
      </c>
      <c r="C70" s="53">
        <f t="shared" si="2"/>
        <v>228.69</v>
      </c>
      <c r="D70" s="41"/>
    </row>
    <row r="71" spans="1:4" x14ac:dyDescent="0.35">
      <c r="A71" s="52">
        <v>90</v>
      </c>
      <c r="B71" s="27">
        <v>100</v>
      </c>
      <c r="C71" s="53">
        <f t="shared" si="2"/>
        <v>90</v>
      </c>
      <c r="D71" s="41"/>
    </row>
    <row r="72" spans="1:4" x14ac:dyDescent="0.35">
      <c r="A72" s="52">
        <v>1116</v>
      </c>
      <c r="B72" s="27">
        <v>91</v>
      </c>
      <c r="C72" s="53">
        <f t="shared" si="2"/>
        <v>1015.5600000000001</v>
      </c>
      <c r="D72" s="41"/>
    </row>
    <row r="73" spans="1:4" x14ac:dyDescent="0.35">
      <c r="A73" s="52">
        <v>75</v>
      </c>
      <c r="B73" s="27">
        <v>100</v>
      </c>
      <c r="C73" s="53">
        <f t="shared" si="2"/>
        <v>75</v>
      </c>
      <c r="D73" s="41"/>
    </row>
    <row r="74" spans="1:4" x14ac:dyDescent="0.35">
      <c r="A74" s="52">
        <v>74</v>
      </c>
      <c r="B74" s="27">
        <v>100</v>
      </c>
      <c r="C74" s="53">
        <f t="shared" si="2"/>
        <v>74</v>
      </c>
      <c r="D74" s="41"/>
    </row>
    <row r="75" spans="1:4" x14ac:dyDescent="0.35">
      <c r="A75" s="52">
        <v>76</v>
      </c>
      <c r="B75" s="27">
        <v>99</v>
      </c>
      <c r="C75" s="53">
        <f t="shared" si="2"/>
        <v>75.239999999999995</v>
      </c>
      <c r="D75" s="41"/>
    </row>
    <row r="76" spans="1:4" x14ac:dyDescent="0.35">
      <c r="A76" s="52">
        <v>810</v>
      </c>
      <c r="B76" s="27">
        <v>97</v>
      </c>
      <c r="C76" s="53">
        <f t="shared" si="2"/>
        <v>785.69999999999993</v>
      </c>
      <c r="D76" s="41"/>
    </row>
    <row r="77" spans="1:4" x14ac:dyDescent="0.35">
      <c r="A77" s="52">
        <v>267</v>
      </c>
      <c r="B77" s="27">
        <v>90</v>
      </c>
      <c r="C77" s="53">
        <f t="shared" si="2"/>
        <v>240.3</v>
      </c>
      <c r="D77" s="41"/>
    </row>
    <row r="78" spans="1:4" x14ac:dyDescent="0.35">
      <c r="A78" s="52">
        <v>78</v>
      </c>
      <c r="B78" s="27">
        <v>100</v>
      </c>
      <c r="C78" s="53">
        <f t="shared" si="2"/>
        <v>78</v>
      </c>
      <c r="D78" s="41"/>
    </row>
    <row r="79" spans="1:4" x14ac:dyDescent="0.35">
      <c r="A79" s="52">
        <v>338</v>
      </c>
      <c r="B79" s="27">
        <v>78</v>
      </c>
      <c r="C79" s="53">
        <f t="shared" si="2"/>
        <v>263.64</v>
      </c>
      <c r="D79" s="41"/>
    </row>
    <row r="80" spans="1:4" x14ac:dyDescent="0.35">
      <c r="A80" s="52">
        <v>72</v>
      </c>
      <c r="B80" s="27">
        <v>99</v>
      </c>
      <c r="C80" s="53">
        <f t="shared" si="2"/>
        <v>71.28</v>
      </c>
      <c r="D80" s="41"/>
    </row>
    <row r="81" spans="1:4" x14ac:dyDescent="0.35">
      <c r="A81" s="52">
        <v>74</v>
      </c>
      <c r="B81" s="27">
        <v>100</v>
      </c>
      <c r="C81" s="53">
        <f t="shared" ref="C81:C84" si="3">B81/100*A81</f>
        <v>74</v>
      </c>
      <c r="D81" s="41"/>
    </row>
    <row r="82" spans="1:4" x14ac:dyDescent="0.35">
      <c r="A82" s="52">
        <v>1616</v>
      </c>
      <c r="B82" s="27">
        <v>94</v>
      </c>
      <c r="C82" s="53">
        <f t="shared" si="3"/>
        <v>1519.04</v>
      </c>
      <c r="D82" s="41"/>
    </row>
    <row r="83" spans="1:4" x14ac:dyDescent="0.35">
      <c r="A83" s="52">
        <v>267</v>
      </c>
      <c r="B83" s="27">
        <v>89</v>
      </c>
      <c r="C83" s="53">
        <f t="shared" si="3"/>
        <v>237.63</v>
      </c>
      <c r="D83" s="41"/>
    </row>
    <row r="84" spans="1:4" x14ac:dyDescent="0.35">
      <c r="A84" s="52">
        <v>269</v>
      </c>
      <c r="B84" s="27">
        <v>91</v>
      </c>
      <c r="C84" s="53">
        <f t="shared" si="3"/>
        <v>244.79000000000002</v>
      </c>
      <c r="D84" s="41"/>
    </row>
    <row r="85" spans="1:4" x14ac:dyDescent="0.35">
      <c r="A85" s="52"/>
      <c r="B85" s="27"/>
      <c r="C85" s="27"/>
      <c r="D85" s="41" t="s">
        <v>4</v>
      </c>
    </row>
    <row r="86" spans="1:4" ht="15" thickBot="1" x14ac:dyDescent="0.4">
      <c r="A86" s="43">
        <f>SUM(A15:A84)</f>
        <v>26242</v>
      </c>
      <c r="B86" s="20"/>
      <c r="C86" s="36">
        <f>SUM(C15:C84)</f>
        <v>24453.18</v>
      </c>
      <c r="D86" s="54">
        <f>C86/A86*100</f>
        <v>93.183370169956561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70" zoomScaleNormal="70" zoomScaleSheetLayoutView="40" workbookViewId="0">
      <selection activeCell="A12" sqref="A12"/>
    </sheetView>
  </sheetViews>
  <sheetFormatPr defaultRowHeight="14.5" x14ac:dyDescent="0.35"/>
  <cols>
    <col min="1" max="1" width="14.7265625" customWidth="1"/>
    <col min="2" max="2" width="11.81640625" bestFit="1" customWidth="1"/>
    <col min="3" max="3" width="11.81640625" customWidth="1"/>
    <col min="4" max="4" width="16.36328125" customWidth="1"/>
    <col min="5" max="5" width="11.54296875" customWidth="1"/>
    <col min="11" max="11" width="9.7265625" bestFit="1" customWidth="1"/>
  </cols>
  <sheetData>
    <row r="1" spans="1:8" ht="15" thickBot="1" x14ac:dyDescent="0.4">
      <c r="A1" s="84" t="s">
        <v>59</v>
      </c>
    </row>
    <row r="2" spans="1:8" ht="58" x14ac:dyDescent="0.35">
      <c r="A2" s="37" t="s">
        <v>38</v>
      </c>
      <c r="B2" s="38" t="s">
        <v>33</v>
      </c>
      <c r="C2" s="38" t="s">
        <v>30</v>
      </c>
      <c r="D2" s="38" t="s">
        <v>39</v>
      </c>
      <c r="E2" s="39" t="s">
        <v>40</v>
      </c>
      <c r="F2" s="27"/>
    </row>
    <row r="3" spans="1:8" x14ac:dyDescent="0.35">
      <c r="A3" s="26">
        <v>7.4000000000000001E-9</v>
      </c>
      <c r="B3" s="27">
        <f>8/52</f>
        <v>0.15384615384615385</v>
      </c>
      <c r="C3" s="28">
        <v>119668000</v>
      </c>
      <c r="D3" s="28">
        <f>A3/B3*C3*2</f>
        <v>11.512061600000001</v>
      </c>
      <c r="E3" s="85">
        <f>D3*6000*2</f>
        <v>138144.73920000001</v>
      </c>
      <c r="F3" s="51"/>
    </row>
    <row r="4" spans="1:8" x14ac:dyDescent="0.35">
      <c r="A4" s="26">
        <v>7.4000000000000001E-9</v>
      </c>
      <c r="B4" s="27">
        <f>(B3+B5)/2</f>
        <v>0.14423076923076922</v>
      </c>
      <c r="C4" s="28">
        <v>119668000</v>
      </c>
      <c r="D4" s="28">
        <f>A4/B4*C4*2</f>
        <v>12.279532373333335</v>
      </c>
      <c r="E4" s="85">
        <f>D4*6000*2</f>
        <v>147354.38848000002</v>
      </c>
      <c r="F4" s="28"/>
    </row>
    <row r="5" spans="1:8" ht="15" thickBot="1" x14ac:dyDescent="0.4">
      <c r="A5" s="30">
        <v>7.4000000000000001E-9</v>
      </c>
      <c r="B5" s="20">
        <f>7/52</f>
        <v>0.13461538461538461</v>
      </c>
      <c r="C5" s="31">
        <v>119668000</v>
      </c>
      <c r="D5" s="31">
        <f>A5/B5*C5*2</f>
        <v>13.156641828571431</v>
      </c>
      <c r="E5" s="86">
        <f>D5*6000*2</f>
        <v>157879.70194285718</v>
      </c>
      <c r="F5" s="27"/>
    </row>
    <row r="6" spans="1:8" ht="15" thickBot="1" x14ac:dyDescent="0.4"/>
    <row r="7" spans="1:8" x14ac:dyDescent="0.35">
      <c r="C7" s="1"/>
      <c r="D7" s="72" t="s">
        <v>37</v>
      </c>
      <c r="E7" s="16"/>
      <c r="F7" s="1"/>
    </row>
    <row r="8" spans="1:8" ht="15" thickBot="1" x14ac:dyDescent="0.4">
      <c r="D8" s="64">
        <f>A3*C3</f>
        <v>0.88554319999999997</v>
      </c>
      <c r="E8" s="17"/>
    </row>
    <row r="9" spans="1:8" x14ac:dyDescent="0.35">
      <c r="D9" s="6"/>
    </row>
    <row r="10" spans="1:8" ht="15" thickBot="1" x14ac:dyDescent="0.4">
      <c r="A10" s="20"/>
      <c r="B10" s="20"/>
      <c r="C10" s="20"/>
      <c r="D10" s="20"/>
      <c r="E10" s="20"/>
      <c r="F10" s="20"/>
      <c r="G10" s="20"/>
      <c r="H10" s="20"/>
    </row>
    <row r="12" spans="1:8" ht="15" thickBot="1" x14ac:dyDescent="0.4">
      <c r="A12" s="84" t="s">
        <v>60</v>
      </c>
    </row>
    <row r="13" spans="1:8" ht="58" x14ac:dyDescent="0.35">
      <c r="A13" s="37" t="s">
        <v>53</v>
      </c>
      <c r="B13" s="38" t="s">
        <v>33</v>
      </c>
      <c r="C13" s="38" t="s">
        <v>30</v>
      </c>
      <c r="D13" s="38" t="s">
        <v>54</v>
      </c>
      <c r="E13" s="39" t="s">
        <v>55</v>
      </c>
    </row>
    <row r="14" spans="1:8" x14ac:dyDescent="0.35">
      <c r="A14" s="26">
        <f>0.0000000006</f>
        <v>6E-10</v>
      </c>
      <c r="B14" s="11">
        <v>0.15384615384615385</v>
      </c>
      <c r="C14" s="28">
        <v>119668000</v>
      </c>
      <c r="D14" s="28">
        <f>A14/B14*C14*2</f>
        <v>0.93341039999999986</v>
      </c>
      <c r="E14" s="29">
        <f>D14*6000*2</f>
        <v>11200.924799999999</v>
      </c>
    </row>
    <row r="15" spans="1:8" x14ac:dyDescent="0.35">
      <c r="A15" s="26">
        <f>0.0000000009</f>
        <v>8.9999999999999999E-10</v>
      </c>
      <c r="B15" s="11">
        <f>(B14+B16)/2</f>
        <v>0.14423076923076922</v>
      </c>
      <c r="C15" s="28">
        <v>119668000</v>
      </c>
      <c r="D15" s="28">
        <f t="shared" ref="D15:D16" si="0">A15/B15*C15*2</f>
        <v>1.4934566400000002</v>
      </c>
      <c r="E15" s="29">
        <f t="shared" ref="E15:E16" si="1">D15*6000*2</f>
        <v>17921.479680000004</v>
      </c>
      <c r="G15" s="4"/>
    </row>
    <row r="16" spans="1:8" ht="15" thickBot="1" x14ac:dyDescent="0.4">
      <c r="A16" s="30">
        <f>0.0000000012</f>
        <v>1.2E-9</v>
      </c>
      <c r="B16" s="79">
        <v>0.13461538461538461</v>
      </c>
      <c r="C16" s="31">
        <v>119668000</v>
      </c>
      <c r="D16" s="31">
        <f t="shared" si="0"/>
        <v>2.1335094857142858</v>
      </c>
      <c r="E16" s="32">
        <f t="shared" si="1"/>
        <v>25602.11382857143</v>
      </c>
    </row>
    <row r="18" spans="1:3" ht="15" thickBot="1" x14ac:dyDescent="0.4"/>
    <row r="19" spans="1:3" x14ac:dyDescent="0.35">
      <c r="A19" s="80" t="s">
        <v>61</v>
      </c>
      <c r="B19" s="18"/>
      <c r="C19" s="19"/>
    </row>
    <row r="20" spans="1:3" ht="15" thickBot="1" x14ac:dyDescent="0.4">
      <c r="A20" s="43">
        <f>175000+175000+75000+75000+60000+65000</f>
        <v>625000</v>
      </c>
      <c r="B20" s="20"/>
      <c r="C20" s="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Normal="100" workbookViewId="0">
      <selection activeCell="E3" sqref="E3"/>
    </sheetView>
  </sheetViews>
  <sheetFormatPr defaultRowHeight="14.5" x14ac:dyDescent="0.35"/>
  <cols>
    <col min="1" max="1" width="14.453125" customWidth="1"/>
    <col min="2" max="2" width="9.81640625" customWidth="1"/>
    <col min="3" max="3" width="11" bestFit="1" customWidth="1"/>
    <col min="4" max="4" width="17.81640625" customWidth="1"/>
    <col min="5" max="5" width="27.453125" customWidth="1"/>
    <col min="6" max="6" width="14.26953125" bestFit="1" customWidth="1"/>
    <col min="7" max="7" width="7.36328125" bestFit="1" customWidth="1"/>
    <col min="9" max="9" width="17.36328125" bestFit="1" customWidth="1"/>
    <col min="11" max="11" width="9.54296875" bestFit="1" customWidth="1"/>
    <col min="13" max="13" width="10.54296875" bestFit="1" customWidth="1"/>
    <col min="18" max="18" width="9.54296875" bestFit="1" customWidth="1"/>
  </cols>
  <sheetData>
    <row r="1" spans="1:20" ht="58" x14ac:dyDescent="0.35">
      <c r="A1" s="37" t="s">
        <v>38</v>
      </c>
      <c r="B1" s="24" t="s">
        <v>33</v>
      </c>
      <c r="C1" s="38" t="s">
        <v>30</v>
      </c>
      <c r="D1" s="38" t="s">
        <v>39</v>
      </c>
      <c r="E1" s="39" t="s">
        <v>41</v>
      </c>
    </row>
    <row r="2" spans="1:20" x14ac:dyDescent="0.35">
      <c r="A2" s="26">
        <v>1.2E-8</v>
      </c>
      <c r="B2" s="27">
        <v>35.15</v>
      </c>
      <c r="C2" s="28">
        <v>3309580000</v>
      </c>
      <c r="D2" s="28">
        <f>A2*C2/B2*2</f>
        <v>2.2597416785206259</v>
      </c>
      <c r="E2" s="29">
        <f>D2*6000</f>
        <v>13558.450071123756</v>
      </c>
    </row>
    <row r="3" spans="1:20" x14ac:dyDescent="0.35">
      <c r="A3" s="26">
        <v>1.2E-8</v>
      </c>
      <c r="B3" s="27">
        <v>28.67</v>
      </c>
      <c r="C3" s="28">
        <v>3309580000</v>
      </c>
      <c r="D3" s="28">
        <f t="shared" ref="D3:D4" si="0">A3*C3/B3*2</f>
        <v>2.7704890129054758</v>
      </c>
      <c r="E3" s="29">
        <f>D3*6000</f>
        <v>16622.934077432856</v>
      </c>
      <c r="I3" s="5"/>
    </row>
    <row r="4" spans="1:20" ht="15" thickBot="1" x14ac:dyDescent="0.4">
      <c r="A4" s="30">
        <v>1.2E-8</v>
      </c>
      <c r="B4" s="20">
        <v>22.19</v>
      </c>
      <c r="C4" s="31">
        <v>3309580000</v>
      </c>
      <c r="D4" s="31">
        <f t="shared" si="0"/>
        <v>3.5795367282559707</v>
      </c>
      <c r="E4" s="32">
        <f>D4*6000</f>
        <v>21477.220369535826</v>
      </c>
      <c r="I4" s="5"/>
    </row>
    <row r="5" spans="1:20" x14ac:dyDescent="0.35">
      <c r="H5" s="73"/>
      <c r="I5" s="4"/>
      <c r="K5" s="4"/>
      <c r="M5" s="4"/>
    </row>
    <row r="6" spans="1:20" ht="29" x14ac:dyDescent="0.35">
      <c r="E6" s="74" t="s">
        <v>32</v>
      </c>
      <c r="H6" s="73"/>
      <c r="M6" s="4"/>
    </row>
    <row r="7" spans="1:20" x14ac:dyDescent="0.35">
      <c r="E7" s="6">
        <f>A2*C2</f>
        <v>39.714959999999998</v>
      </c>
      <c r="H7" s="73"/>
      <c r="M7" s="4"/>
    </row>
    <row r="8" spans="1:20" x14ac:dyDescent="0.35">
      <c r="E8" s="6"/>
    </row>
    <row r="9" spans="1:20" x14ac:dyDescent="0.35">
      <c r="E9" s="6"/>
      <c r="I9" s="2"/>
    </row>
    <row r="11" spans="1:20" x14ac:dyDescent="0.35">
      <c r="O11" s="5"/>
      <c r="S11" s="16"/>
      <c r="T11" s="16"/>
    </row>
    <row r="12" spans="1:20" x14ac:dyDescent="0.35">
      <c r="Q12" s="4"/>
      <c r="S12" s="4"/>
      <c r="T12" s="4"/>
    </row>
    <row r="13" spans="1:20" x14ac:dyDescent="0.35">
      <c r="R13" s="4"/>
      <c r="S13" s="4"/>
      <c r="T13" s="4"/>
    </row>
    <row r="16" spans="1:20" x14ac:dyDescent="0.35">
      <c r="I16" s="1"/>
      <c r="J16" s="1"/>
      <c r="K1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70" zoomScaleNormal="70" workbookViewId="0">
      <selection activeCell="E4" sqref="E4"/>
    </sheetView>
  </sheetViews>
  <sheetFormatPr defaultRowHeight="14.5" x14ac:dyDescent="0.35"/>
  <cols>
    <col min="1" max="1" width="15.453125" customWidth="1"/>
    <col min="2" max="2" width="11.26953125" customWidth="1"/>
    <col min="3" max="3" width="9.1796875" customWidth="1"/>
    <col min="4" max="4" width="15.90625" customWidth="1"/>
    <col min="5" max="5" width="18.81640625" customWidth="1"/>
  </cols>
  <sheetData>
    <row r="1" spans="1:16" ht="15" thickBot="1" x14ac:dyDescent="0.4">
      <c r="A1" s="84" t="s">
        <v>59</v>
      </c>
    </row>
    <row r="2" spans="1:16" ht="58" x14ac:dyDescent="0.35">
      <c r="A2" s="37" t="s">
        <v>38</v>
      </c>
      <c r="B2" s="38" t="s">
        <v>33</v>
      </c>
      <c r="C2" s="38" t="s">
        <v>30</v>
      </c>
      <c r="D2" s="38" t="s">
        <v>39</v>
      </c>
      <c r="E2" s="39" t="s">
        <v>40</v>
      </c>
    </row>
    <row r="3" spans="1:16" x14ac:dyDescent="0.35">
      <c r="A3" s="26">
        <v>4.5999999999999998E-9</v>
      </c>
      <c r="B3" s="71">
        <f>10/52</f>
        <v>0.19230769230769232</v>
      </c>
      <c r="C3" s="28">
        <v>2803570000</v>
      </c>
      <c r="D3" s="28">
        <f>A3*C3/B3*2</f>
        <v>134.1227888</v>
      </c>
      <c r="E3" s="29">
        <f>D3*6000*2</f>
        <v>1609473.4656</v>
      </c>
    </row>
    <row r="4" spans="1:16" x14ac:dyDescent="0.35">
      <c r="A4" s="26">
        <v>5.4000000000000004E-9</v>
      </c>
      <c r="B4" s="71">
        <f>(B3+B5)/2</f>
        <v>0.15384615384615385</v>
      </c>
      <c r="C4" s="28">
        <v>2803570000</v>
      </c>
      <c r="D4" s="28">
        <f>A4*C4/B4*2</f>
        <v>196.81061399999999</v>
      </c>
      <c r="E4" s="29">
        <f t="shared" ref="E4:E5" si="0">D4*6000*2</f>
        <v>2361727.3679999998</v>
      </c>
    </row>
    <row r="5" spans="1:16" ht="15" thickBot="1" x14ac:dyDescent="0.4">
      <c r="A5" s="30">
        <v>6.5000000000000003E-9</v>
      </c>
      <c r="B5" s="70">
        <f>6/52</f>
        <v>0.11538461538461539</v>
      </c>
      <c r="C5" s="31">
        <v>2803570000</v>
      </c>
      <c r="D5" s="31">
        <f>A5*C5/B5*2</f>
        <v>315.86888666666664</v>
      </c>
      <c r="E5" s="32">
        <f t="shared" si="0"/>
        <v>3790426.6399999997</v>
      </c>
    </row>
    <row r="7" spans="1:16" ht="29" x14ac:dyDescent="0.35">
      <c r="E7" s="74" t="s">
        <v>32</v>
      </c>
    </row>
    <row r="8" spans="1:16" x14ac:dyDescent="0.35">
      <c r="E8" s="6">
        <f>A3*C3</f>
        <v>12.896421999999999</v>
      </c>
    </row>
    <row r="9" spans="1:16" x14ac:dyDescent="0.35">
      <c r="E9" s="6">
        <f>A4*C4</f>
        <v>15.139278000000001</v>
      </c>
    </row>
    <row r="10" spans="1:16" x14ac:dyDescent="0.35">
      <c r="E10" s="6">
        <f>A5*C5</f>
        <v>18.223205</v>
      </c>
    </row>
    <row r="12" spans="1:16" ht="15" thickBot="1" x14ac:dyDescent="0.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77"/>
      <c r="P12" s="77"/>
    </row>
    <row r="14" spans="1:16" ht="15" thickBot="1" x14ac:dyDescent="0.4">
      <c r="A14" s="84" t="s">
        <v>60</v>
      </c>
    </row>
    <row r="15" spans="1:16" ht="58" x14ac:dyDescent="0.35">
      <c r="A15" s="37" t="s">
        <v>53</v>
      </c>
      <c r="B15" s="38" t="s">
        <v>33</v>
      </c>
      <c r="C15" s="38" t="s">
        <v>30</v>
      </c>
      <c r="D15" s="38" t="s">
        <v>54</v>
      </c>
      <c r="E15" s="39" t="s">
        <v>55</v>
      </c>
    </row>
    <row r="16" spans="1:16" x14ac:dyDescent="0.35">
      <c r="A16" s="26">
        <v>1.2E-10</v>
      </c>
      <c r="B16" s="71">
        <f>10/52</f>
        <v>0.19230769230769232</v>
      </c>
      <c r="C16" s="28">
        <v>2803570000</v>
      </c>
      <c r="D16" s="28">
        <f>A16*C16/B16*2</f>
        <v>3.4988553599999999</v>
      </c>
      <c r="E16" s="29">
        <f>D16*6000*2</f>
        <v>41986.264319999995</v>
      </c>
    </row>
    <row r="17" spans="1:5" x14ac:dyDescent="0.35">
      <c r="A17" s="26">
        <v>3.1000000000000002E-10</v>
      </c>
      <c r="B17" s="71">
        <f>(B16+B18)/2</f>
        <v>0.15384615384615385</v>
      </c>
      <c r="C17" s="28">
        <v>2803570000</v>
      </c>
      <c r="D17" s="28">
        <f>A17*C17/B17*2</f>
        <v>11.298387099999999</v>
      </c>
      <c r="E17" s="29">
        <f t="shared" ref="E17:E18" si="1">D17*6000*2</f>
        <v>135580.6452</v>
      </c>
    </row>
    <row r="18" spans="1:5" ht="15" thickBot="1" x14ac:dyDescent="0.4">
      <c r="A18" s="30">
        <v>6.3999999999999996E-10</v>
      </c>
      <c r="B18" s="70">
        <f>6/52</f>
        <v>0.11538461538461539</v>
      </c>
      <c r="C18" s="31">
        <v>2803570000</v>
      </c>
      <c r="D18" s="31">
        <f>A18*C18/B18*2</f>
        <v>31.100936533333329</v>
      </c>
      <c r="E18" s="32">
        <f t="shared" si="1"/>
        <v>373211.23839999991</v>
      </c>
    </row>
    <row r="20" spans="1:5" ht="29" x14ac:dyDescent="0.35">
      <c r="E20" s="74" t="s">
        <v>32</v>
      </c>
    </row>
    <row r="21" spans="1:5" x14ac:dyDescent="0.35">
      <c r="E21" s="6">
        <f>A16*C16</f>
        <v>0.33642840000000002</v>
      </c>
    </row>
    <row r="22" spans="1:5" x14ac:dyDescent="0.35">
      <c r="E22" s="6">
        <f>A17*C17</f>
        <v>0.86910670000000001</v>
      </c>
    </row>
    <row r="23" spans="1:5" x14ac:dyDescent="0.35">
      <c r="E23" s="6">
        <f>A18*C18</f>
        <v>1.7942847999999998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115" zoomScaleNormal="115" workbookViewId="0">
      <selection activeCell="E2" sqref="E2"/>
    </sheetView>
  </sheetViews>
  <sheetFormatPr defaultRowHeight="14.5" x14ac:dyDescent="0.35"/>
  <cols>
    <col min="1" max="1" width="16.54296875" customWidth="1"/>
    <col min="2" max="2" width="10.26953125" customWidth="1"/>
    <col min="3" max="3" width="12.6328125" customWidth="1"/>
    <col min="4" max="4" width="21.7265625" bestFit="1" customWidth="1"/>
    <col min="5" max="5" width="17.26953125" customWidth="1"/>
    <col min="6" max="6" width="14.26953125" bestFit="1" customWidth="1"/>
    <col min="15" max="15" width="9" bestFit="1" customWidth="1"/>
  </cols>
  <sheetData>
    <row r="1" spans="1:17" ht="43.5" x14ac:dyDescent="0.35">
      <c r="A1" s="37" t="s">
        <v>38</v>
      </c>
      <c r="B1" s="24" t="s">
        <v>33</v>
      </c>
      <c r="C1" s="38" t="s">
        <v>30</v>
      </c>
      <c r="D1" s="38" t="s">
        <v>39</v>
      </c>
      <c r="E1" s="39" t="s">
        <v>40</v>
      </c>
    </row>
    <row r="2" spans="1:17" x14ac:dyDescent="0.35">
      <c r="A2" s="26">
        <v>1.3000000000000001E-9</v>
      </c>
      <c r="B2" s="27">
        <f>35/365.25</f>
        <v>9.5824777549623541E-2</v>
      </c>
      <c r="C2" s="28">
        <v>274000000</v>
      </c>
      <c r="D2" s="28">
        <f>A2*C2/B2*2</f>
        <v>7.4344028571428575</v>
      </c>
      <c r="E2" s="29">
        <f>D2*6000*2</f>
        <v>89212.834285714285</v>
      </c>
    </row>
    <row r="3" spans="1:17" x14ac:dyDescent="0.35">
      <c r="A3" s="26">
        <v>2.8999999999999999E-9</v>
      </c>
      <c r="B3" s="45">
        <f>32.5/365.25</f>
        <v>8.8980150581793288E-2</v>
      </c>
      <c r="C3" s="28">
        <v>274000000</v>
      </c>
      <c r="D3" s="28">
        <f t="shared" ref="D3:D4" si="0">A3*C3/B3*2</f>
        <v>17.860163076923076</v>
      </c>
      <c r="E3" s="29">
        <f t="shared" ref="E3:E4" si="1">D3*6000*2</f>
        <v>214321.95692307691</v>
      </c>
    </row>
    <row r="4" spans="1:17" ht="15" thickBot="1" x14ac:dyDescent="0.4">
      <c r="A4" s="30">
        <v>5.4999999999999996E-9</v>
      </c>
      <c r="B4" s="20">
        <f>30/365.25</f>
        <v>8.2135523613963035E-2</v>
      </c>
      <c r="C4" s="31">
        <v>274000000</v>
      </c>
      <c r="D4" s="31">
        <f t="shared" si="0"/>
        <v>36.695450000000001</v>
      </c>
      <c r="E4" s="32">
        <f t="shared" si="1"/>
        <v>440345.4</v>
      </c>
    </row>
    <row r="5" spans="1:17" x14ac:dyDescent="0.35">
      <c r="H5" s="9"/>
      <c r="K5" s="1"/>
    </row>
    <row r="6" spans="1:17" ht="43.5" x14ac:dyDescent="0.35">
      <c r="E6" s="74" t="s">
        <v>32</v>
      </c>
      <c r="H6" s="9"/>
      <c r="K6" s="1"/>
    </row>
    <row r="7" spans="1:17" x14ac:dyDescent="0.35">
      <c r="E7" s="6">
        <f>A2*C2</f>
        <v>0.35620000000000002</v>
      </c>
      <c r="H7" s="9"/>
      <c r="K7" s="1"/>
    </row>
    <row r="8" spans="1:17" x14ac:dyDescent="0.35">
      <c r="E8" s="6">
        <f>A3*C3</f>
        <v>0.79459999999999997</v>
      </c>
    </row>
    <row r="9" spans="1:17" x14ac:dyDescent="0.35">
      <c r="E9" s="6">
        <f>A4*C4</f>
        <v>1.5069999999999999</v>
      </c>
      <c r="G9" s="16"/>
    </row>
    <row r="10" spans="1:17" x14ac:dyDescent="0.35">
      <c r="G10" s="17"/>
    </row>
    <row r="11" spans="1:17" x14ac:dyDescent="0.35">
      <c r="L11" s="5"/>
      <c r="P11" s="16"/>
      <c r="Q11" s="16"/>
    </row>
    <row r="12" spans="1:17" x14ac:dyDescent="0.35">
      <c r="G12" s="17"/>
      <c r="N12" s="4"/>
      <c r="P12" s="4"/>
      <c r="Q12" s="4"/>
    </row>
    <row r="13" spans="1:17" x14ac:dyDescent="0.35">
      <c r="O13" s="4"/>
      <c r="P13" s="4"/>
      <c r="Q13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3" sqref="E3"/>
    </sheetView>
  </sheetViews>
  <sheetFormatPr defaultRowHeight="14.5" x14ac:dyDescent="0.35"/>
  <cols>
    <col min="1" max="1" width="15.6328125" customWidth="1"/>
    <col min="2" max="2" width="10.81640625" customWidth="1"/>
    <col min="3" max="3" width="9.6328125" customWidth="1"/>
    <col min="4" max="4" width="16.08984375" customWidth="1"/>
    <col min="5" max="5" width="19.26953125" customWidth="1"/>
  </cols>
  <sheetData>
    <row r="1" spans="1:5" ht="58" x14ac:dyDescent="0.35">
      <c r="A1" s="37" t="s">
        <v>38</v>
      </c>
      <c r="B1" s="24" t="s">
        <v>33</v>
      </c>
      <c r="C1" s="38" t="s">
        <v>30</v>
      </c>
      <c r="D1" s="38" t="s">
        <v>39</v>
      </c>
      <c r="E1" s="39" t="s">
        <v>41</v>
      </c>
    </row>
    <row r="2" spans="1:5" x14ac:dyDescent="0.35">
      <c r="A2" s="26"/>
      <c r="B2" s="27"/>
      <c r="C2" s="28"/>
      <c r="D2" s="28"/>
      <c r="E2" s="29"/>
    </row>
    <row r="3" spans="1:5" x14ac:dyDescent="0.35">
      <c r="A3" s="26">
        <v>6.7999999999999997E-9</v>
      </c>
      <c r="B3" s="45">
        <v>1</v>
      </c>
      <c r="C3" s="1">
        <v>250287000</v>
      </c>
      <c r="D3" s="28">
        <f>A3*C3/B3*2</f>
        <v>3.4039031999999998</v>
      </c>
      <c r="E3" s="29">
        <f>D3*6000</f>
        <v>20423.4192</v>
      </c>
    </row>
    <row r="4" spans="1:5" ht="15" thickBot="1" x14ac:dyDescent="0.4">
      <c r="A4" s="30"/>
      <c r="B4" s="20"/>
      <c r="C4" s="31"/>
      <c r="D4" s="31"/>
      <c r="E4" s="32"/>
    </row>
    <row r="6" spans="1:5" ht="43.5" x14ac:dyDescent="0.35">
      <c r="E6" s="74" t="s">
        <v>32</v>
      </c>
    </row>
    <row r="7" spans="1:5" x14ac:dyDescent="0.35">
      <c r="E7" s="6">
        <f>A3*C3</f>
        <v>1.7019515999999999</v>
      </c>
    </row>
    <row r="9" spans="1:5" x14ac:dyDescent="0.35">
      <c r="E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Human</vt:lpstr>
      <vt:lpstr>Drosophila</vt:lpstr>
      <vt:lpstr>Daphnia</vt:lpstr>
      <vt:lpstr>Saccharomyces</vt:lpstr>
      <vt:lpstr>Arabidopsis</vt:lpstr>
      <vt:lpstr>Pan_troglodytes</vt:lpstr>
      <vt:lpstr>Mus_musculus</vt:lpstr>
      <vt:lpstr>Heliconius</vt:lpstr>
      <vt:lpstr>Apis_mellifera</vt:lpstr>
      <vt:lpstr>Chlamydomonas</vt:lpstr>
      <vt:lpstr>Schizosaccharomyces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2015-06-10T17:29:47Z</dcterms:created>
  <dcterms:modified xsi:type="dcterms:W3CDTF">2016-03-28T19:03:55Z</dcterms:modified>
</cp:coreProperties>
</file>