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Web Editor" reservationPassword="F402"/>
  <workbookPr defaultThemeVersion="124226"/>
  <bookViews>
    <workbookView xWindow="0" yWindow="135" windowWidth="15300" windowHeight="8730"/>
  </bookViews>
  <sheets>
    <sheet name="Sheet1" sheetId="1" r:id="rId1"/>
    <sheet name="Subset" sheetId="2" r:id="rId2"/>
    <sheet name="Weighted" sheetId="3" r:id="rId3"/>
    <sheet name="ForPaper" sheetId="4" r:id="rId4"/>
    <sheet name="PerGen" sheetId="5" r:id="rId5"/>
  </sheets>
  <calcPr calcId="145621"/>
</workbook>
</file>

<file path=xl/calcChain.xml><?xml version="1.0" encoding="utf-8"?>
<calcChain xmlns="http://schemas.openxmlformats.org/spreadsheetml/2006/main">
  <c r="G17" i="4" l="1"/>
  <c r="G15" i="4"/>
  <c r="F17" i="4"/>
  <c r="F15" i="4"/>
  <c r="E17" i="4"/>
  <c r="E16" i="4"/>
  <c r="E15" i="4"/>
  <c r="D17" i="4"/>
  <c r="D16" i="4"/>
  <c r="D15" i="4"/>
  <c r="B17" i="4"/>
  <c r="B16" i="4"/>
  <c r="B15" i="4"/>
  <c r="G8" i="4"/>
  <c r="G7" i="4"/>
  <c r="G6" i="4"/>
  <c r="F8" i="4"/>
  <c r="F7" i="4"/>
  <c r="F6" i="4"/>
  <c r="E8" i="4"/>
  <c r="E7" i="4"/>
  <c r="E6" i="4"/>
  <c r="E27" i="5" l="1"/>
  <c r="D27" i="5"/>
  <c r="C27" i="5"/>
  <c r="E26" i="5"/>
  <c r="D26" i="5"/>
  <c r="C26" i="5"/>
  <c r="E25" i="5"/>
  <c r="D25" i="5"/>
  <c r="C25" i="5"/>
  <c r="F12" i="5"/>
  <c r="C12" i="5"/>
  <c r="E12" i="5" s="1"/>
  <c r="H20" i="3" l="1"/>
  <c r="H17" i="3"/>
  <c r="B30" i="3"/>
  <c r="B29" i="3"/>
  <c r="B33" i="3"/>
  <c r="B34" i="3"/>
  <c r="C18" i="3"/>
  <c r="B21" i="2"/>
  <c r="B16" i="2"/>
  <c r="B20" i="2"/>
  <c r="F17" i="3"/>
  <c r="I6" i="2"/>
  <c r="G8" i="1"/>
  <c r="H8" i="1" s="1"/>
  <c r="C19" i="3" l="1"/>
  <c r="E19" i="3"/>
  <c r="H19" i="3"/>
  <c r="G23" i="3" l="1"/>
  <c r="G18" i="3"/>
  <c r="G17" i="3"/>
  <c r="B7" i="3"/>
  <c r="B12" i="3" s="1"/>
  <c r="J6" i="2"/>
  <c r="G13" i="2"/>
  <c r="C13" i="2"/>
  <c r="J12" i="2"/>
  <c r="E9" i="2"/>
  <c r="C38" i="1"/>
  <c r="B18" i="2"/>
  <c r="J7" i="2"/>
  <c r="C9" i="3" l="1"/>
  <c r="C6" i="3"/>
  <c r="C4" i="3"/>
  <c r="C5" i="3"/>
  <c r="C10" i="3"/>
  <c r="C8" i="3"/>
  <c r="C7" i="3"/>
  <c r="J13" i="2"/>
  <c r="B19" i="2" s="1"/>
  <c r="C36" i="1"/>
  <c r="E32" i="1"/>
  <c r="C40" i="1" s="1"/>
  <c r="C32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22" i="1" s="1"/>
  <c r="H30" i="1"/>
  <c r="H29" i="1"/>
  <c r="H28" i="1"/>
  <c r="H32" i="1" s="1"/>
  <c r="C39" i="1" s="1"/>
  <c r="E22" i="1"/>
  <c r="C22" i="1"/>
  <c r="B22" i="2" l="1"/>
  <c r="B23" i="2" s="1"/>
  <c r="C20" i="3"/>
  <c r="E20" i="3"/>
  <c r="E23" i="3"/>
  <c r="C23" i="3"/>
  <c r="E17" i="3"/>
  <c r="C17" i="3"/>
  <c r="C22" i="3"/>
  <c r="H22" i="3"/>
  <c r="E22" i="3"/>
  <c r="H23" i="3"/>
  <c r="H21" i="3"/>
  <c r="E21" i="3"/>
  <c r="C21" i="3"/>
  <c r="E18" i="3"/>
  <c r="H18" i="3"/>
  <c r="H24" i="3" s="1"/>
  <c r="C41" i="1"/>
  <c r="C42" i="1" s="1"/>
  <c r="C43" i="1" s="1"/>
  <c r="C44" i="1" s="1"/>
  <c r="C45" i="1" s="1"/>
  <c r="B24" i="2" l="1"/>
  <c r="B25" i="2" s="1"/>
  <c r="B27" i="2"/>
  <c r="E24" i="3"/>
  <c r="B27" i="3" s="1"/>
  <c r="C24" i="3"/>
  <c r="B32" i="3" l="1"/>
  <c r="B31" i="3"/>
  <c r="L22" i="3" l="1"/>
  <c r="L23" i="3"/>
  <c r="L21" i="3"/>
  <c r="L19" i="3"/>
  <c r="L17" i="3"/>
  <c r="L20" i="3"/>
  <c r="L18" i="3"/>
  <c r="B39" i="3" l="1"/>
  <c r="B35" i="3"/>
  <c r="B37" i="3" s="1"/>
  <c r="B36" i="3"/>
  <c r="B38" i="3" s="1"/>
</calcChain>
</file>

<file path=xl/sharedStrings.xml><?xml version="1.0" encoding="utf-8"?>
<sst xmlns="http://schemas.openxmlformats.org/spreadsheetml/2006/main" count="410" uniqueCount="111">
  <si>
    <t>Paper</t>
  </si>
  <si>
    <t>mutants</t>
  </si>
  <si>
    <t>transmissions</t>
  </si>
  <si>
    <t>bp</t>
  </si>
  <si>
    <t>type of mutant</t>
  </si>
  <si>
    <t>ethnicity</t>
  </si>
  <si>
    <t>ref</t>
  </si>
  <si>
    <t>Madrigal 2012</t>
  </si>
  <si>
    <t>Heyer 2001</t>
  </si>
  <si>
    <t>Sigur 2000</t>
  </si>
  <si>
    <t>Soodyall 1997</t>
  </si>
  <si>
    <t>Janzin 1998</t>
  </si>
  <si>
    <t>Bendall 1996</t>
  </si>
  <si>
    <t>Parsons 1997</t>
  </si>
  <si>
    <t>Parsons 1998</t>
  </si>
  <si>
    <t>Mumm 1997</t>
  </si>
  <si>
    <t>Cavelier 2000</t>
  </si>
  <si>
    <t>Howell 1996</t>
  </si>
  <si>
    <t>Santos 2005</t>
  </si>
  <si>
    <t>Control Region</t>
  </si>
  <si>
    <t>Rest of genome</t>
  </si>
  <si>
    <t>Howell 2003</t>
  </si>
  <si>
    <t>gen. time</t>
  </si>
  <si>
    <t>(years)</t>
  </si>
  <si>
    <t>Costa Rica</t>
  </si>
  <si>
    <t>Q's/comments</t>
  </si>
  <si>
    <t>included mutational hotspot mutation but not possible adoptions</t>
  </si>
  <si>
    <t>substitution</t>
  </si>
  <si>
    <t>European origin</t>
  </si>
  <si>
    <t>Icelanders</t>
  </si>
  <si>
    <t>Swedish</t>
  </si>
  <si>
    <t>European</t>
  </si>
  <si>
    <t>Azores Islands</t>
  </si>
  <si>
    <t>French-Quebecois</t>
  </si>
  <si>
    <t>Santos 2008</t>
  </si>
  <si>
    <t>they looked for heteroplasmy; made sure it was germline</t>
  </si>
  <si>
    <t>European/USA</t>
  </si>
  <si>
    <t>germline</t>
  </si>
  <si>
    <t>Australian</t>
  </si>
  <si>
    <t>homoplasmic plus heteroplasmic as per Howell 2003</t>
  </si>
  <si>
    <t>Howell 2003; Sigur 2000</t>
  </si>
  <si>
    <t>they looked for homoplasmy</t>
  </si>
  <si>
    <t>looked for heteroplasmy</t>
  </si>
  <si>
    <t>Missouri</t>
  </si>
  <si>
    <t>heteroplasmy</t>
  </si>
  <si>
    <t>Howell 2003 (UTMB)</t>
  </si>
  <si>
    <t>Tristan da Cunha</t>
  </si>
  <si>
    <t>same as Cavelier 2000????</t>
  </si>
  <si>
    <t>SUM</t>
  </si>
  <si>
    <t>total bp</t>
  </si>
  <si>
    <t>Presumably European</t>
  </si>
  <si>
    <t>n</t>
  </si>
  <si>
    <t>yr/gen</t>
  </si>
  <si>
    <t>mut/line</t>
  </si>
  <si>
    <t>bp/line</t>
  </si>
  <si>
    <t>gen/line</t>
  </si>
  <si>
    <t>mut/bp/gen</t>
  </si>
  <si>
    <t>mut/rest/gen</t>
  </si>
  <si>
    <t>mut/rest/yr</t>
  </si>
  <si>
    <t>mut/6K</t>
  </si>
  <si>
    <t>divergence/6K</t>
  </si>
  <si>
    <t>(European)</t>
  </si>
  <si>
    <t>Method of detection</t>
  </si>
  <si>
    <t>note that the Ingram 2000 paper directly sequenced amplified PCR products!</t>
  </si>
  <si>
    <t>Heteroplasmy</t>
  </si>
  <si>
    <t>Homoplasmy</t>
  </si>
  <si>
    <t>Homo and heterplasmic</t>
  </si>
  <si>
    <t>mut/CR/gen</t>
  </si>
  <si>
    <t>mut/CR/yr</t>
  </si>
  <si>
    <t>mut/10K</t>
  </si>
  <si>
    <t>divergence/10K</t>
  </si>
  <si>
    <t>divergence/150K</t>
  </si>
  <si>
    <t>Homoplasmy (underpowered)</t>
  </si>
  <si>
    <t>Lineages</t>
  </si>
  <si>
    <t>Best approach:  Toss studies looking at heteroplasmy--since unclear what to do with these (can't throw them out--might be relevant; can't include since they might disappear)</t>
  </si>
  <si>
    <t>Homo (excluded heterplasmic)</t>
  </si>
  <si>
    <t>Sum</t>
  </si>
  <si>
    <t>weighted</t>
  </si>
  <si>
    <t>Too much hetero to get rate</t>
  </si>
  <si>
    <t>Expected mutants</t>
  </si>
  <si>
    <t>&gt;</t>
  </si>
  <si>
    <t>Actual dif</t>
  </si>
  <si>
    <t>&lt;</t>
  </si>
  <si>
    <t>mutants/</t>
  </si>
  <si>
    <t>generation</t>
  </si>
  <si>
    <t>base pairs/</t>
  </si>
  <si>
    <t>95% CI</t>
  </si>
  <si>
    <t>upper</t>
  </si>
  <si>
    <t>lower</t>
  </si>
  <si>
    <t>Generation</t>
  </si>
  <si>
    <t>year</t>
  </si>
  <si>
    <t>time (years)</t>
  </si>
  <si>
    <t>10,000 years</t>
  </si>
  <si>
    <t>control region</t>
  </si>
  <si>
    <r>
      <rPr>
        <b/>
        <i/>
        <sz val="12"/>
        <color theme="1"/>
        <rFont val="Times New Roman"/>
        <family val="1"/>
      </rPr>
      <t>million</t>
    </r>
    <r>
      <rPr>
        <i/>
        <sz val="12"/>
        <color theme="1"/>
        <rFont val="Times New Roman"/>
        <family val="1"/>
      </rPr>
      <t xml:space="preserve"> years</t>
    </r>
  </si>
  <si>
    <t>max. &amp; min. per</t>
  </si>
  <si>
    <t>base pair/</t>
  </si>
  <si>
    <t>180,000 years</t>
  </si>
  <si>
    <t>Average</t>
  </si>
  <si>
    <t>Generations</t>
  </si>
  <si>
    <t>Mutants/</t>
  </si>
  <si>
    <t>D-loop</t>
  </si>
  <si>
    <t>D-loop/</t>
  </si>
  <si>
    <t>Divergence/</t>
  </si>
  <si>
    <t>95% confidence intervals</t>
  </si>
  <si>
    <t>Predicted divergence (D-loop region)</t>
  </si>
  <si>
    <t>Predicted time based on divergence</t>
  </si>
  <si>
    <t>r</t>
  </si>
  <si>
    <t>d</t>
  </si>
  <si>
    <t>d/r = t</t>
  </si>
  <si>
    <t>control region/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</si>
</sst>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1" fontId="0" fillId="0" borderId="0" xfId="0" applyNumberFormat="1"/>
    <xf numFmtId="4" fontId="0" fillId="0" borderId="0" xfId="0" applyNumberFormat="1"/>
    <xf numFmtId="3" fontId="0" fillId="0" borderId="0" xfId="0" applyNumberForma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696B"/>
      <color rgb="FF5A8AC6"/>
      <color rgb="FFFFA3A3"/>
      <color rgb="FF98B5D8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213360</xdr:colOff>
      <xdr:row>0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3177540" y="721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5"/>
  <sheetViews>
    <sheetView tabSelected="1" zoomScale="85" zoomScaleNormal="85" workbookViewId="0"/>
  </sheetViews>
  <sheetFormatPr defaultRowHeight="15" x14ac:dyDescent="0.25"/>
  <cols>
    <col min="1" max="1" width="21.42578125" customWidth="1"/>
    <col min="2" max="2" width="20.42578125" customWidth="1"/>
    <col min="3" max="3" width="12.42578125" bestFit="1" customWidth="1"/>
    <col min="4" max="4" width="12.5703125" customWidth="1"/>
    <col min="5" max="5" width="12" customWidth="1"/>
    <col min="6" max="6" width="12.5703125" bestFit="1" customWidth="1"/>
    <col min="7" max="7" width="6.140625" bestFit="1" customWidth="1"/>
    <col min="8" max="8" width="9.7109375" customWidth="1"/>
    <col min="9" max="9" width="12.5703125" bestFit="1" customWidth="1"/>
    <col min="10" max="10" width="13.28515625" bestFit="1" customWidth="1"/>
    <col min="11" max="11" width="12.5703125" bestFit="1" customWidth="1"/>
    <col min="12" max="12" width="15.7109375" customWidth="1"/>
    <col min="13" max="13" width="12.5703125" customWidth="1"/>
    <col min="14" max="14" width="8.5703125" bestFit="1" customWidth="1"/>
    <col min="15" max="15" width="12.5703125" bestFit="1" customWidth="1"/>
  </cols>
  <sheetData>
    <row r="4" spans="1:16" ht="14.45" x14ac:dyDescent="0.3">
      <c r="A4" s="1" t="s">
        <v>19</v>
      </c>
      <c r="B4" s="1"/>
    </row>
    <row r="5" spans="1:16" ht="14.45" x14ac:dyDescent="0.3">
      <c r="N5" s="5" t="s">
        <v>23</v>
      </c>
    </row>
    <row r="6" spans="1:16" ht="14.45" x14ac:dyDescent="0.3">
      <c r="A6" s="2" t="s">
        <v>0</v>
      </c>
      <c r="B6" s="9" t="s">
        <v>62</v>
      </c>
      <c r="C6" s="2" t="s">
        <v>1</v>
      </c>
      <c r="D6" s="3" t="s">
        <v>6</v>
      </c>
      <c r="E6" s="4" t="s">
        <v>2</v>
      </c>
      <c r="F6" s="3" t="s">
        <v>6</v>
      </c>
      <c r="G6" s="4" t="s">
        <v>3</v>
      </c>
      <c r="H6" s="4" t="s">
        <v>49</v>
      </c>
      <c r="I6" s="3" t="s">
        <v>6</v>
      </c>
      <c r="J6" s="3" t="s">
        <v>4</v>
      </c>
      <c r="K6" s="3" t="s">
        <v>6</v>
      </c>
      <c r="L6" s="3" t="s">
        <v>5</v>
      </c>
      <c r="M6" s="3" t="s">
        <v>6</v>
      </c>
      <c r="N6" s="3" t="s">
        <v>22</v>
      </c>
      <c r="O6" s="3" t="s">
        <v>6</v>
      </c>
      <c r="P6" s="6" t="s">
        <v>25</v>
      </c>
    </row>
    <row r="7" spans="1:16" ht="14.45" x14ac:dyDescent="0.3">
      <c r="A7" t="s">
        <v>12</v>
      </c>
      <c r="B7" t="s">
        <v>64</v>
      </c>
      <c r="C7">
        <v>4</v>
      </c>
      <c r="D7" t="s">
        <v>12</v>
      </c>
      <c r="E7">
        <v>360</v>
      </c>
      <c r="F7" t="s">
        <v>12</v>
      </c>
      <c r="G7">
        <v>313</v>
      </c>
      <c r="H7">
        <f t="shared" ref="H7:H20" si="0">G7*E7</f>
        <v>112680</v>
      </c>
      <c r="I7" t="s">
        <v>12</v>
      </c>
      <c r="P7" t="s">
        <v>44</v>
      </c>
    </row>
    <row r="8" spans="1:16" ht="14.45" x14ac:dyDescent="0.3">
      <c r="A8" t="s">
        <v>16</v>
      </c>
      <c r="B8" s="1" t="s">
        <v>65</v>
      </c>
      <c r="C8" s="1">
        <v>0</v>
      </c>
      <c r="D8" t="s">
        <v>16</v>
      </c>
      <c r="E8">
        <v>292</v>
      </c>
      <c r="F8" t="s">
        <v>16</v>
      </c>
      <c r="G8">
        <f>381+411</f>
        <v>792</v>
      </c>
      <c r="H8">
        <f t="shared" si="0"/>
        <v>231264</v>
      </c>
      <c r="J8" t="s">
        <v>27</v>
      </c>
      <c r="K8" t="s">
        <v>16</v>
      </c>
      <c r="L8" t="s">
        <v>30</v>
      </c>
      <c r="M8" t="s">
        <v>7</v>
      </c>
    </row>
    <row r="9" spans="1:16" ht="14.45" x14ac:dyDescent="0.3">
      <c r="A9" t="s">
        <v>8</v>
      </c>
      <c r="B9" s="1" t="s">
        <v>65</v>
      </c>
      <c r="C9" s="1">
        <v>4</v>
      </c>
      <c r="D9" t="s">
        <v>8</v>
      </c>
      <c r="E9">
        <v>508</v>
      </c>
      <c r="F9" t="s">
        <v>8</v>
      </c>
      <c r="G9">
        <v>673</v>
      </c>
      <c r="H9">
        <f t="shared" si="0"/>
        <v>341884</v>
      </c>
      <c r="I9" t="s">
        <v>8</v>
      </c>
      <c r="K9" t="s">
        <v>8</v>
      </c>
      <c r="L9" t="s">
        <v>33</v>
      </c>
      <c r="M9" t="s">
        <v>7</v>
      </c>
    </row>
    <row r="10" spans="1:16" ht="14.45" x14ac:dyDescent="0.3">
      <c r="A10" t="s">
        <v>17</v>
      </c>
      <c r="B10" t="s">
        <v>64</v>
      </c>
      <c r="C10">
        <v>2</v>
      </c>
      <c r="D10" t="s">
        <v>21</v>
      </c>
      <c r="E10">
        <v>88</v>
      </c>
      <c r="F10" t="s">
        <v>21</v>
      </c>
      <c r="G10">
        <v>1194</v>
      </c>
      <c r="H10">
        <f t="shared" si="0"/>
        <v>105072</v>
      </c>
      <c r="I10" t="s">
        <v>17</v>
      </c>
      <c r="J10" t="s">
        <v>27</v>
      </c>
      <c r="K10" t="s">
        <v>17</v>
      </c>
      <c r="L10" t="s">
        <v>38</v>
      </c>
      <c r="M10" t="s">
        <v>17</v>
      </c>
      <c r="N10">
        <v>26</v>
      </c>
      <c r="O10" t="s">
        <v>17</v>
      </c>
      <c r="P10" t="s">
        <v>37</v>
      </c>
    </row>
    <row r="11" spans="1:16" ht="14.45" x14ac:dyDescent="0.3">
      <c r="A11" t="s">
        <v>21</v>
      </c>
      <c r="B11" t="s">
        <v>64</v>
      </c>
      <c r="C11">
        <v>1</v>
      </c>
      <c r="D11" t="s">
        <v>21</v>
      </c>
      <c r="E11">
        <v>185</v>
      </c>
      <c r="F11" t="s">
        <v>21</v>
      </c>
      <c r="G11">
        <v>1122</v>
      </c>
      <c r="H11">
        <f t="shared" si="0"/>
        <v>207570</v>
      </c>
      <c r="I11" t="s">
        <v>21</v>
      </c>
      <c r="J11" t="s">
        <v>27</v>
      </c>
      <c r="K11" t="s">
        <v>21</v>
      </c>
      <c r="L11" t="s">
        <v>31</v>
      </c>
      <c r="M11" t="s">
        <v>7</v>
      </c>
      <c r="P11" t="s">
        <v>42</v>
      </c>
    </row>
    <row r="12" spans="1:16" ht="14.45" x14ac:dyDescent="0.3">
      <c r="A12" t="s">
        <v>45</v>
      </c>
      <c r="B12" t="s">
        <v>64</v>
      </c>
      <c r="C12">
        <v>3</v>
      </c>
      <c r="D12" t="s">
        <v>45</v>
      </c>
      <c r="E12">
        <v>263</v>
      </c>
      <c r="F12" t="s">
        <v>45</v>
      </c>
      <c r="G12">
        <v>1122</v>
      </c>
      <c r="H12">
        <f t="shared" si="0"/>
        <v>295086</v>
      </c>
      <c r="I12" t="s">
        <v>45</v>
      </c>
      <c r="L12" t="s">
        <v>50</v>
      </c>
    </row>
    <row r="13" spans="1:16" ht="14.45" x14ac:dyDescent="0.3">
      <c r="A13" t="s">
        <v>11</v>
      </c>
      <c r="B13" s="1" t="s">
        <v>65</v>
      </c>
      <c r="C13" s="1">
        <v>0</v>
      </c>
      <c r="D13" t="s">
        <v>11</v>
      </c>
      <c r="E13">
        <v>228</v>
      </c>
      <c r="F13" t="s">
        <v>14</v>
      </c>
      <c r="G13">
        <v>370</v>
      </c>
      <c r="H13">
        <f t="shared" si="0"/>
        <v>84360</v>
      </c>
      <c r="I13" t="s">
        <v>11</v>
      </c>
      <c r="L13" t="s">
        <v>30</v>
      </c>
      <c r="M13" t="s">
        <v>11</v>
      </c>
      <c r="P13" s="1" t="s">
        <v>47</v>
      </c>
    </row>
    <row r="14" spans="1:16" ht="14.45" x14ac:dyDescent="0.3">
      <c r="A14" t="s">
        <v>7</v>
      </c>
      <c r="B14" s="1" t="s">
        <v>65</v>
      </c>
      <c r="C14">
        <v>3</v>
      </c>
      <c r="D14" t="s">
        <v>7</v>
      </c>
      <c r="E14">
        <v>220</v>
      </c>
      <c r="F14" t="s">
        <v>7</v>
      </c>
      <c r="G14">
        <v>360</v>
      </c>
      <c r="H14">
        <f t="shared" si="0"/>
        <v>79200</v>
      </c>
      <c r="I14" t="s">
        <v>7</v>
      </c>
      <c r="J14" t="s">
        <v>27</v>
      </c>
      <c r="K14" t="s">
        <v>7</v>
      </c>
      <c r="L14" t="s">
        <v>24</v>
      </c>
      <c r="M14" t="s">
        <v>7</v>
      </c>
      <c r="N14">
        <v>28.3</v>
      </c>
      <c r="O14" t="s">
        <v>7</v>
      </c>
      <c r="P14" t="s">
        <v>26</v>
      </c>
    </row>
    <row r="15" spans="1:16" ht="14.45" x14ac:dyDescent="0.3">
      <c r="A15" t="s">
        <v>15</v>
      </c>
      <c r="B15" s="7" t="s">
        <v>78</v>
      </c>
      <c r="C15">
        <v>1</v>
      </c>
      <c r="D15" t="s">
        <v>21</v>
      </c>
      <c r="E15">
        <v>59</v>
      </c>
      <c r="F15" t="s">
        <v>21</v>
      </c>
      <c r="G15">
        <v>443</v>
      </c>
      <c r="H15">
        <f t="shared" si="0"/>
        <v>26137</v>
      </c>
      <c r="I15" t="s">
        <v>15</v>
      </c>
      <c r="J15" t="s">
        <v>27</v>
      </c>
      <c r="K15" t="s">
        <v>15</v>
      </c>
      <c r="L15" t="s">
        <v>43</v>
      </c>
      <c r="M15" t="s">
        <v>15</v>
      </c>
    </row>
    <row r="16" spans="1:16" ht="14.45" x14ac:dyDescent="0.3">
      <c r="A16" t="s">
        <v>13</v>
      </c>
      <c r="B16" s="1" t="s">
        <v>65</v>
      </c>
      <c r="C16" s="1">
        <v>10</v>
      </c>
      <c r="D16" t="s">
        <v>13</v>
      </c>
      <c r="E16">
        <v>327</v>
      </c>
      <c r="F16" t="s">
        <v>13</v>
      </c>
      <c r="G16">
        <v>610</v>
      </c>
      <c r="H16">
        <f t="shared" si="0"/>
        <v>199470</v>
      </c>
      <c r="I16" t="s">
        <v>13</v>
      </c>
      <c r="J16" t="s">
        <v>27</v>
      </c>
      <c r="K16" t="s">
        <v>13</v>
      </c>
      <c r="L16" t="s">
        <v>28</v>
      </c>
      <c r="M16" t="s">
        <v>7</v>
      </c>
      <c r="P16" t="s">
        <v>44</v>
      </c>
    </row>
    <row r="17" spans="1:16" ht="14.45" x14ac:dyDescent="0.3">
      <c r="A17" t="s">
        <v>14</v>
      </c>
      <c r="B17" t="s">
        <v>64</v>
      </c>
      <c r="C17">
        <v>10</v>
      </c>
      <c r="D17" t="s">
        <v>14</v>
      </c>
      <c r="E17">
        <v>306</v>
      </c>
      <c r="F17" t="s">
        <v>14</v>
      </c>
      <c r="G17">
        <v>610</v>
      </c>
      <c r="H17">
        <f t="shared" si="0"/>
        <v>186660</v>
      </c>
      <c r="I17" t="s">
        <v>14</v>
      </c>
      <c r="L17" t="s">
        <v>50</v>
      </c>
      <c r="P17" t="s">
        <v>44</v>
      </c>
    </row>
    <row r="18" spans="1:16" ht="14.45" x14ac:dyDescent="0.3">
      <c r="A18" t="s">
        <v>18</v>
      </c>
      <c r="B18" t="s">
        <v>64</v>
      </c>
      <c r="C18">
        <v>6</v>
      </c>
      <c r="D18" t="s">
        <v>18</v>
      </c>
      <c r="E18">
        <v>321</v>
      </c>
      <c r="F18" t="s">
        <v>18</v>
      </c>
      <c r="G18">
        <v>973</v>
      </c>
      <c r="H18">
        <f t="shared" si="0"/>
        <v>312333</v>
      </c>
      <c r="I18" t="s">
        <v>18</v>
      </c>
      <c r="J18" t="s">
        <v>27</v>
      </c>
      <c r="K18" t="s">
        <v>18</v>
      </c>
      <c r="L18" t="s">
        <v>32</v>
      </c>
      <c r="M18" t="s">
        <v>18</v>
      </c>
      <c r="N18">
        <v>25</v>
      </c>
      <c r="O18" t="s">
        <v>18</v>
      </c>
      <c r="P18" t="s">
        <v>35</v>
      </c>
    </row>
    <row r="19" spans="1:16" ht="14.45" x14ac:dyDescent="0.3">
      <c r="A19" t="s">
        <v>9</v>
      </c>
      <c r="B19" s="1" t="s">
        <v>66</v>
      </c>
      <c r="C19" s="1">
        <v>5</v>
      </c>
      <c r="D19" t="s">
        <v>40</v>
      </c>
      <c r="E19">
        <v>705</v>
      </c>
      <c r="F19" t="s">
        <v>9</v>
      </c>
      <c r="G19">
        <v>673</v>
      </c>
      <c r="H19">
        <f t="shared" si="0"/>
        <v>474465</v>
      </c>
      <c r="I19" t="s">
        <v>9</v>
      </c>
      <c r="J19" t="s">
        <v>27</v>
      </c>
      <c r="K19" t="s">
        <v>9</v>
      </c>
      <c r="L19" t="s">
        <v>29</v>
      </c>
      <c r="M19" t="s">
        <v>9</v>
      </c>
      <c r="N19">
        <v>30</v>
      </c>
      <c r="O19" t="s">
        <v>9</v>
      </c>
      <c r="P19" t="s">
        <v>39</v>
      </c>
    </row>
    <row r="20" spans="1:16" ht="14.45" x14ac:dyDescent="0.3">
      <c r="A20" t="s">
        <v>10</v>
      </c>
      <c r="B20" s="1" t="s">
        <v>65</v>
      </c>
      <c r="C20" s="1">
        <v>0</v>
      </c>
      <c r="D20" t="s">
        <v>10</v>
      </c>
      <c r="E20">
        <v>108</v>
      </c>
      <c r="F20" t="s">
        <v>10</v>
      </c>
      <c r="G20">
        <v>698</v>
      </c>
      <c r="H20">
        <f t="shared" si="0"/>
        <v>75384</v>
      </c>
      <c r="I20" t="s">
        <v>10</v>
      </c>
      <c r="K20" t="s">
        <v>10</v>
      </c>
      <c r="L20" t="s">
        <v>46</v>
      </c>
      <c r="M20" t="s">
        <v>10</v>
      </c>
    </row>
    <row r="21" spans="1:16" ht="14.45" x14ac:dyDescent="0.3">
      <c r="A21" s="1" t="s">
        <v>63</v>
      </c>
      <c r="L21" t="s">
        <v>61</v>
      </c>
    </row>
    <row r="22" spans="1:16" ht="14.45" x14ac:dyDescent="0.3">
      <c r="A22" t="s">
        <v>48</v>
      </c>
      <c r="C22">
        <f>SUM(C7:C20)</f>
        <v>49</v>
      </c>
      <c r="E22">
        <f>SUM(E7:E20)</f>
        <v>3970</v>
      </c>
      <c r="H22">
        <f>SUM(H7:H20)</f>
        <v>2731565</v>
      </c>
    </row>
    <row r="24" spans="1:16" ht="14.45" x14ac:dyDescent="0.3">
      <c r="G24" s="7"/>
      <c r="H24" s="7"/>
    </row>
    <row r="25" spans="1:16" ht="14.45" x14ac:dyDescent="0.3">
      <c r="A25" s="1" t="s">
        <v>20</v>
      </c>
      <c r="B25" s="1"/>
    </row>
    <row r="27" spans="1:16" ht="14.45" x14ac:dyDescent="0.3">
      <c r="A27" s="2" t="s">
        <v>0</v>
      </c>
      <c r="B27" s="2"/>
      <c r="C27" s="2" t="s">
        <v>1</v>
      </c>
      <c r="D27" s="3" t="s">
        <v>6</v>
      </c>
      <c r="E27" s="4" t="s">
        <v>2</v>
      </c>
      <c r="F27" s="3" t="s">
        <v>6</v>
      </c>
      <c r="G27" s="4" t="s">
        <v>3</v>
      </c>
      <c r="H27" s="4" t="s">
        <v>49</v>
      </c>
      <c r="I27" s="3" t="s">
        <v>6</v>
      </c>
      <c r="J27" s="3" t="s">
        <v>4</v>
      </c>
      <c r="K27" s="3" t="s">
        <v>6</v>
      </c>
      <c r="L27" s="3" t="s">
        <v>5</v>
      </c>
      <c r="M27" s="3" t="s">
        <v>6</v>
      </c>
      <c r="N27" s="3" t="s">
        <v>22</v>
      </c>
      <c r="O27" s="3" t="s">
        <v>6</v>
      </c>
      <c r="P27" s="6" t="s">
        <v>25</v>
      </c>
    </row>
    <row r="28" spans="1:16" ht="14.45" x14ac:dyDescent="0.3">
      <c r="A28" t="s">
        <v>34</v>
      </c>
      <c r="B28" t="s">
        <v>64</v>
      </c>
      <c r="C28">
        <v>2</v>
      </c>
      <c r="D28" t="s">
        <v>34</v>
      </c>
      <c r="E28">
        <v>311</v>
      </c>
      <c r="F28" t="s">
        <v>34</v>
      </c>
      <c r="G28">
        <v>1102</v>
      </c>
      <c r="H28">
        <f>G28*E28</f>
        <v>342722</v>
      </c>
      <c r="I28" t="s">
        <v>34</v>
      </c>
      <c r="J28" t="s">
        <v>27</v>
      </c>
      <c r="K28" t="s">
        <v>34</v>
      </c>
      <c r="L28" t="s">
        <v>32</v>
      </c>
      <c r="M28" t="s">
        <v>34</v>
      </c>
      <c r="N28">
        <v>25</v>
      </c>
      <c r="O28" t="s">
        <v>34</v>
      </c>
      <c r="P28" t="s">
        <v>35</v>
      </c>
    </row>
    <row r="29" spans="1:16" ht="14.45" x14ac:dyDescent="0.3">
      <c r="A29" t="s">
        <v>16</v>
      </c>
      <c r="B29" s="1" t="s">
        <v>72</v>
      </c>
      <c r="C29">
        <v>0</v>
      </c>
      <c r="D29" t="s">
        <v>16</v>
      </c>
      <c r="E29">
        <v>292</v>
      </c>
      <c r="F29" t="s">
        <v>16</v>
      </c>
      <c r="G29">
        <v>500</v>
      </c>
      <c r="H29">
        <f>G29*E29</f>
        <v>146000</v>
      </c>
      <c r="I29" t="s">
        <v>16</v>
      </c>
      <c r="J29" t="s">
        <v>27</v>
      </c>
      <c r="K29" t="s">
        <v>16</v>
      </c>
      <c r="L29" t="s">
        <v>30</v>
      </c>
      <c r="M29" t="s">
        <v>7</v>
      </c>
      <c r="P29" t="s">
        <v>41</v>
      </c>
    </row>
    <row r="30" spans="1:16" ht="14.45" x14ac:dyDescent="0.3">
      <c r="A30" t="s">
        <v>21</v>
      </c>
      <c r="B30" t="s">
        <v>64</v>
      </c>
      <c r="C30">
        <v>4</v>
      </c>
      <c r="D30" t="s">
        <v>21</v>
      </c>
      <c r="E30">
        <v>170</v>
      </c>
      <c r="F30" t="s">
        <v>21</v>
      </c>
      <c r="G30">
        <v>15447</v>
      </c>
      <c r="H30">
        <f>G30*E30</f>
        <v>2625990</v>
      </c>
      <c r="I30" t="s">
        <v>21</v>
      </c>
      <c r="J30" t="s">
        <v>27</v>
      </c>
      <c r="K30" t="s">
        <v>21</v>
      </c>
      <c r="L30" t="s">
        <v>36</v>
      </c>
      <c r="M30" t="s">
        <v>21</v>
      </c>
      <c r="N30">
        <v>20</v>
      </c>
      <c r="O30" t="s">
        <v>21</v>
      </c>
      <c r="P30" t="s">
        <v>35</v>
      </c>
    </row>
    <row r="32" spans="1:16" x14ac:dyDescent="0.25">
      <c r="A32" t="s">
        <v>48</v>
      </c>
      <c r="C32">
        <f>SUM(C28:C30)</f>
        <v>6</v>
      </c>
      <c r="E32">
        <f>SUM(E28:E30)</f>
        <v>773</v>
      </c>
      <c r="H32">
        <f>SUM(H28:H30)</f>
        <v>3114712</v>
      </c>
    </row>
    <row r="35" spans="1:3" x14ac:dyDescent="0.25">
      <c r="A35" s="1" t="s">
        <v>20</v>
      </c>
      <c r="B35" s="1"/>
    </row>
    <row r="36" spans="1:3" x14ac:dyDescent="0.25">
      <c r="A36" s="8" t="s">
        <v>51</v>
      </c>
      <c r="B36" s="8"/>
      <c r="C36">
        <f>773</f>
        <v>773</v>
      </c>
    </row>
    <row r="37" spans="1:3" x14ac:dyDescent="0.25">
      <c r="A37" t="s">
        <v>52</v>
      </c>
      <c r="C37">
        <v>26</v>
      </c>
    </row>
    <row r="38" spans="1:3" x14ac:dyDescent="0.25">
      <c r="A38" t="s">
        <v>53</v>
      </c>
      <c r="C38">
        <f>C32/E32</f>
        <v>7.7619663648124193E-3</v>
      </c>
    </row>
    <row r="39" spans="1:3" x14ac:dyDescent="0.25">
      <c r="A39" t="s">
        <v>54</v>
      </c>
      <c r="C39">
        <f>H32/E32</f>
        <v>4029.3816300129365</v>
      </c>
    </row>
    <row r="40" spans="1:3" x14ac:dyDescent="0.25">
      <c r="A40" t="s">
        <v>55</v>
      </c>
      <c r="C40">
        <f>E32/E32</f>
        <v>1</v>
      </c>
    </row>
    <row r="41" spans="1:3" x14ac:dyDescent="0.25">
      <c r="A41" t="s">
        <v>56</v>
      </c>
      <c r="C41">
        <f>C38/C39/C40</f>
        <v>1.9263418255042524E-6</v>
      </c>
    </row>
    <row r="42" spans="1:3" x14ac:dyDescent="0.25">
      <c r="A42" t="s">
        <v>57</v>
      </c>
      <c r="C42">
        <f>C41*15435</f>
        <v>2.9733086076658134E-2</v>
      </c>
    </row>
    <row r="43" spans="1:3" x14ac:dyDescent="0.25">
      <c r="A43" t="s">
        <v>58</v>
      </c>
      <c r="C43">
        <f>C42/26</f>
        <v>1.1435802337176205E-3</v>
      </c>
    </row>
    <row r="44" spans="1:3" x14ac:dyDescent="0.25">
      <c r="A44" t="s">
        <v>59</v>
      </c>
      <c r="C44">
        <f>C43*6000</f>
        <v>6.8614814023057233</v>
      </c>
    </row>
    <row r="45" spans="1:3" x14ac:dyDescent="0.25">
      <c r="A45" t="s">
        <v>60</v>
      </c>
      <c r="C45">
        <f>C44*2</f>
        <v>13.722962804611447</v>
      </c>
    </row>
  </sheetData>
  <sortState ref="A7:N19">
    <sortCondition ref="A7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1"/>
  <sheetViews>
    <sheetView workbookViewId="0">
      <selection activeCell="B23" sqref="B23"/>
    </sheetView>
  </sheetViews>
  <sheetFormatPr defaultRowHeight="15" x14ac:dyDescent="0.25"/>
  <cols>
    <col min="1" max="1" width="13.7109375" customWidth="1"/>
    <col min="2" max="2" width="27.140625" bestFit="1" customWidth="1"/>
    <col min="3" max="3" width="7.7109375" customWidth="1"/>
    <col min="4" max="4" width="20.7109375" bestFit="1" customWidth="1"/>
    <col min="5" max="5" width="8" bestFit="1" customWidth="1"/>
    <col min="6" max="6" width="11.7109375" bestFit="1" customWidth="1"/>
    <col min="7" max="7" width="12" bestFit="1" customWidth="1"/>
    <col min="8" max="8" width="12.28515625" bestFit="1" customWidth="1"/>
    <col min="9" max="9" width="5.7109375" customWidth="1"/>
    <col min="10" max="10" width="9" customWidth="1"/>
    <col min="11" max="11" width="12.28515625" bestFit="1" customWidth="1"/>
    <col min="12" max="12" width="13.28515625" bestFit="1" customWidth="1"/>
    <col min="13" max="13" width="12.28515625" bestFit="1" customWidth="1"/>
    <col min="14" max="14" width="15.7109375" bestFit="1" customWidth="1"/>
    <col min="15" max="15" width="12.5703125" bestFit="1" customWidth="1"/>
    <col min="16" max="16" width="8.5703125" customWidth="1"/>
    <col min="17" max="17" width="9.28515625" bestFit="1" customWidth="1"/>
    <col min="18" max="18" width="44.28515625" bestFit="1" customWidth="1"/>
  </cols>
  <sheetData>
    <row r="5" spans="1:18" ht="14.45" x14ac:dyDescent="0.3">
      <c r="A5" s="2" t="s">
        <v>0</v>
      </c>
      <c r="B5" s="9" t="s">
        <v>62</v>
      </c>
      <c r="C5" s="2" t="s">
        <v>1</v>
      </c>
      <c r="D5" s="3" t="s">
        <v>6</v>
      </c>
      <c r="E5" s="3" t="s">
        <v>73</v>
      </c>
      <c r="F5" s="3" t="s">
        <v>6</v>
      </c>
      <c r="G5" s="4" t="s">
        <v>2</v>
      </c>
      <c r="H5" s="3" t="s">
        <v>6</v>
      </c>
      <c r="I5" s="4" t="s">
        <v>3</v>
      </c>
      <c r="J5" s="4" t="s">
        <v>49</v>
      </c>
      <c r="K5" s="3" t="s">
        <v>6</v>
      </c>
      <c r="L5" s="3" t="s">
        <v>4</v>
      </c>
      <c r="M5" s="3" t="s">
        <v>6</v>
      </c>
      <c r="N5" s="3" t="s">
        <v>5</v>
      </c>
      <c r="O5" s="3" t="s">
        <v>6</v>
      </c>
      <c r="P5" s="3" t="s">
        <v>22</v>
      </c>
      <c r="Q5" s="3" t="s">
        <v>6</v>
      </c>
      <c r="R5" s="6" t="s">
        <v>25</v>
      </c>
    </row>
    <row r="6" spans="1:18" ht="14.45" x14ac:dyDescent="0.3">
      <c r="A6" t="s">
        <v>16</v>
      </c>
      <c r="B6" s="1" t="s">
        <v>65</v>
      </c>
      <c r="C6" s="1">
        <v>0</v>
      </c>
      <c r="D6" t="s">
        <v>16</v>
      </c>
      <c r="E6">
        <v>33</v>
      </c>
      <c r="G6">
        <v>292</v>
      </c>
      <c r="H6" t="s">
        <v>16</v>
      </c>
      <c r="I6" s="7">
        <f>381+411</f>
        <v>792</v>
      </c>
      <c r="J6">
        <f t="shared" ref="J6:J7" si="0">I6*G6</f>
        <v>231264</v>
      </c>
      <c r="L6" t="s">
        <v>27</v>
      </c>
      <c r="M6" t="s">
        <v>16</v>
      </c>
      <c r="N6" t="s">
        <v>30</v>
      </c>
      <c r="O6" t="s">
        <v>7</v>
      </c>
    </row>
    <row r="7" spans="1:18" ht="14.45" x14ac:dyDescent="0.3">
      <c r="A7" t="s">
        <v>8</v>
      </c>
      <c r="B7" s="1" t="s">
        <v>65</v>
      </c>
      <c r="C7" s="1">
        <v>4</v>
      </c>
      <c r="D7" t="s">
        <v>8</v>
      </c>
      <c r="E7">
        <v>16</v>
      </c>
      <c r="G7">
        <v>508</v>
      </c>
      <c r="H7" t="s">
        <v>8</v>
      </c>
      <c r="I7">
        <v>673</v>
      </c>
      <c r="J7">
        <f t="shared" si="0"/>
        <v>341884</v>
      </c>
      <c r="K7" t="s">
        <v>8</v>
      </c>
      <c r="M7" t="s">
        <v>8</v>
      </c>
      <c r="N7" t="s">
        <v>33</v>
      </c>
      <c r="O7" t="s">
        <v>7</v>
      </c>
    </row>
    <row r="8" spans="1:18" ht="14.45" x14ac:dyDescent="0.3">
      <c r="A8" t="s">
        <v>11</v>
      </c>
      <c r="B8" s="1" t="s">
        <v>65</v>
      </c>
      <c r="C8" s="1">
        <v>0</v>
      </c>
      <c r="D8" t="s">
        <v>11</v>
      </c>
      <c r="E8">
        <v>33</v>
      </c>
      <c r="F8" t="s">
        <v>11</v>
      </c>
      <c r="G8">
        <v>228</v>
      </c>
      <c r="H8" t="s">
        <v>14</v>
      </c>
      <c r="I8">
        <v>370</v>
      </c>
      <c r="J8">
        <v>84360</v>
      </c>
      <c r="K8" t="s">
        <v>11</v>
      </c>
      <c r="N8" t="s">
        <v>30</v>
      </c>
      <c r="O8" t="s">
        <v>11</v>
      </c>
      <c r="R8" s="1" t="s">
        <v>47</v>
      </c>
    </row>
    <row r="9" spans="1:18" ht="14.45" x14ac:dyDescent="0.3">
      <c r="A9" t="s">
        <v>13</v>
      </c>
      <c r="B9" s="1" t="s">
        <v>65</v>
      </c>
      <c r="C9" s="1">
        <v>7</v>
      </c>
      <c r="D9" t="s">
        <v>13</v>
      </c>
      <c r="E9">
        <f>73+5+40+16</f>
        <v>134</v>
      </c>
      <c r="F9" t="s">
        <v>13</v>
      </c>
      <c r="G9">
        <v>327</v>
      </c>
      <c r="H9" t="s">
        <v>13</v>
      </c>
      <c r="I9">
        <v>610</v>
      </c>
      <c r="J9">
        <v>199470</v>
      </c>
      <c r="K9" t="s">
        <v>13</v>
      </c>
      <c r="L9" t="s">
        <v>27</v>
      </c>
      <c r="M9" t="s">
        <v>13</v>
      </c>
      <c r="N9" t="s">
        <v>28</v>
      </c>
      <c r="O9" t="s">
        <v>7</v>
      </c>
      <c r="R9" t="s">
        <v>44</v>
      </c>
    </row>
    <row r="10" spans="1:18" ht="14.45" x14ac:dyDescent="0.3">
      <c r="A10" t="s">
        <v>9</v>
      </c>
      <c r="B10" s="1" t="s">
        <v>75</v>
      </c>
      <c r="C10" s="1">
        <v>3</v>
      </c>
      <c r="D10" t="s">
        <v>40</v>
      </c>
      <c r="E10">
        <v>26</v>
      </c>
      <c r="F10" t="s">
        <v>9</v>
      </c>
      <c r="G10">
        <v>705</v>
      </c>
      <c r="H10" t="s">
        <v>9</v>
      </c>
      <c r="I10">
        <v>673</v>
      </c>
      <c r="J10">
        <v>474465</v>
      </c>
      <c r="K10" t="s">
        <v>9</v>
      </c>
      <c r="L10" t="s">
        <v>27</v>
      </c>
      <c r="M10" t="s">
        <v>9</v>
      </c>
      <c r="N10" t="s">
        <v>29</v>
      </c>
      <c r="O10" t="s">
        <v>9</v>
      </c>
      <c r="P10">
        <v>30</v>
      </c>
      <c r="Q10" t="s">
        <v>9</v>
      </c>
      <c r="R10" t="s">
        <v>39</v>
      </c>
    </row>
    <row r="11" spans="1:18" ht="14.45" x14ac:dyDescent="0.3">
      <c r="A11" t="s">
        <v>10</v>
      </c>
      <c r="B11" s="1" t="s">
        <v>65</v>
      </c>
      <c r="C11" s="1">
        <v>0</v>
      </c>
      <c r="D11" t="s">
        <v>10</v>
      </c>
      <c r="E11">
        <v>5</v>
      </c>
      <c r="F11" t="s">
        <v>11</v>
      </c>
      <c r="G11">
        <v>108</v>
      </c>
      <c r="H11" t="s">
        <v>10</v>
      </c>
      <c r="I11">
        <v>698</v>
      </c>
      <c r="J11">
        <v>75384</v>
      </c>
      <c r="K11" t="s">
        <v>10</v>
      </c>
      <c r="M11" t="s">
        <v>10</v>
      </c>
      <c r="N11" t="s">
        <v>46</v>
      </c>
      <c r="O11" t="s">
        <v>10</v>
      </c>
    </row>
    <row r="12" spans="1:18" ht="14.45" x14ac:dyDescent="0.3">
      <c r="A12" t="s">
        <v>7</v>
      </c>
      <c r="B12" s="1" t="s">
        <v>65</v>
      </c>
      <c r="C12" s="1">
        <v>2</v>
      </c>
      <c r="D12" t="s">
        <v>7</v>
      </c>
      <c r="E12">
        <v>19</v>
      </c>
      <c r="G12">
        <v>220</v>
      </c>
      <c r="H12" t="s">
        <v>7</v>
      </c>
      <c r="I12">
        <v>360</v>
      </c>
      <c r="J12">
        <f t="shared" ref="J12" si="1">I12*G12</f>
        <v>79200</v>
      </c>
      <c r="K12" t="s">
        <v>7</v>
      </c>
      <c r="L12" t="s">
        <v>27</v>
      </c>
      <c r="M12" t="s">
        <v>7</v>
      </c>
      <c r="N12" t="s">
        <v>24</v>
      </c>
      <c r="O12" t="s">
        <v>7</v>
      </c>
      <c r="P12">
        <v>28.3</v>
      </c>
      <c r="Q12" t="s">
        <v>7</v>
      </c>
      <c r="R12" t="s">
        <v>26</v>
      </c>
    </row>
    <row r="13" spans="1:18" ht="14.45" x14ac:dyDescent="0.3">
      <c r="A13" t="s">
        <v>48</v>
      </c>
      <c r="C13">
        <f>SUM(C6:C12)</f>
        <v>16</v>
      </c>
      <c r="G13">
        <f>SUM(G6:G12)</f>
        <v>2388</v>
      </c>
      <c r="J13">
        <f>SUM(J6:J12)</f>
        <v>1486027</v>
      </c>
    </row>
    <row r="16" spans="1:18" ht="14.45" x14ac:dyDescent="0.3">
      <c r="A16" s="8" t="s">
        <v>51</v>
      </c>
      <c r="B16">
        <f>G13</f>
        <v>2388</v>
      </c>
    </row>
    <row r="17" spans="1:2" ht="14.45" x14ac:dyDescent="0.3">
      <c r="A17" t="s">
        <v>52</v>
      </c>
      <c r="B17">
        <v>26</v>
      </c>
    </row>
    <row r="18" spans="1:2" ht="14.45" x14ac:dyDescent="0.3">
      <c r="A18" t="s">
        <v>53</v>
      </c>
      <c r="B18">
        <f>C13/B16</f>
        <v>6.7001675041876048E-3</v>
      </c>
    </row>
    <row r="19" spans="1:2" ht="14.45" x14ac:dyDescent="0.3">
      <c r="A19" t="s">
        <v>54</v>
      </c>
      <c r="B19">
        <f>J13/B16</f>
        <v>622.28936348408706</v>
      </c>
    </row>
    <row r="20" spans="1:2" ht="14.45" x14ac:dyDescent="0.3">
      <c r="A20" t="s">
        <v>55</v>
      </c>
      <c r="B20">
        <f>G13/B16</f>
        <v>1</v>
      </c>
    </row>
    <row r="21" spans="1:2" ht="14.45" x14ac:dyDescent="0.3">
      <c r="A21" t="s">
        <v>56</v>
      </c>
      <c r="B21">
        <f>B18/B19/B20</f>
        <v>1.0766964530254162E-5</v>
      </c>
    </row>
    <row r="22" spans="1:2" ht="14.45" x14ac:dyDescent="0.3">
      <c r="A22" t="s">
        <v>67</v>
      </c>
      <c r="B22">
        <f>B21*1118</f>
        <v>1.2037466344824154E-2</v>
      </c>
    </row>
    <row r="23" spans="1:2" ht="14.45" x14ac:dyDescent="0.3">
      <c r="A23" t="s">
        <v>68</v>
      </c>
      <c r="B23">
        <f>B22/B17</f>
        <v>4.6297947480092902E-4</v>
      </c>
    </row>
    <row r="24" spans="1:2" ht="14.45" x14ac:dyDescent="0.3">
      <c r="A24" t="s">
        <v>69</v>
      </c>
      <c r="B24">
        <f>B23*10000</f>
        <v>4.6297947480092905</v>
      </c>
    </row>
    <row r="25" spans="1:2" ht="14.45" x14ac:dyDescent="0.3">
      <c r="A25" t="s">
        <v>70</v>
      </c>
      <c r="B25">
        <f>B24*2</f>
        <v>9.2595894960185809</v>
      </c>
    </row>
    <row r="27" spans="1:2" x14ac:dyDescent="0.25">
      <c r="A27" t="s">
        <v>71</v>
      </c>
      <c r="B27">
        <f>B23*150000*2</f>
        <v>138.89384244027872</v>
      </c>
    </row>
    <row r="31" spans="1:2" x14ac:dyDescent="0.25">
      <c r="A31" s="1" t="s">
        <v>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9"/>
  <sheetViews>
    <sheetView topLeftCell="A2" workbookViewId="0">
      <selection activeCell="H24" sqref="H24"/>
    </sheetView>
  </sheetViews>
  <sheetFormatPr defaultRowHeight="15" x14ac:dyDescent="0.25"/>
  <cols>
    <col min="1" max="1" width="14.7109375" bestFit="1" customWidth="1"/>
    <col min="2" max="2" width="12" bestFit="1" customWidth="1"/>
    <col min="4" max="4" width="12" bestFit="1" customWidth="1"/>
    <col min="10" max="10" width="12" bestFit="1" customWidth="1"/>
  </cols>
  <sheetData>
    <row r="3" spans="1:14" ht="14.45" x14ac:dyDescent="0.3">
      <c r="B3" s="3" t="s">
        <v>73</v>
      </c>
    </row>
    <row r="4" spans="1:14" ht="14.45" x14ac:dyDescent="0.3">
      <c r="B4">
        <v>33</v>
      </c>
      <c r="C4" s="10">
        <f t="shared" ref="C4:C10" si="0">B4/$B$12</f>
        <v>0.12406015037593984</v>
      </c>
    </row>
    <row r="5" spans="1:14" ht="14.45" x14ac:dyDescent="0.3">
      <c r="B5">
        <v>16</v>
      </c>
      <c r="C5" s="10">
        <f t="shared" si="0"/>
        <v>6.0150375939849621E-2</v>
      </c>
    </row>
    <row r="6" spans="1:14" ht="14.45" x14ac:dyDescent="0.3">
      <c r="B6">
        <v>33</v>
      </c>
      <c r="C6" s="10">
        <f t="shared" si="0"/>
        <v>0.12406015037593984</v>
      </c>
    </row>
    <row r="7" spans="1:14" ht="14.45" x14ac:dyDescent="0.3">
      <c r="B7">
        <f>73+5+40+16</f>
        <v>134</v>
      </c>
      <c r="C7" s="10">
        <f t="shared" si="0"/>
        <v>0.50375939849624063</v>
      </c>
    </row>
    <row r="8" spans="1:14" ht="14.45" x14ac:dyDescent="0.3">
      <c r="B8">
        <v>26</v>
      </c>
      <c r="C8" s="10">
        <f t="shared" si="0"/>
        <v>9.7744360902255634E-2</v>
      </c>
    </row>
    <row r="9" spans="1:14" ht="14.45" x14ac:dyDescent="0.3">
      <c r="B9">
        <v>5</v>
      </c>
      <c r="C9" s="10">
        <f t="shared" si="0"/>
        <v>1.8796992481203006E-2</v>
      </c>
    </row>
    <row r="10" spans="1:14" ht="14.45" x14ac:dyDescent="0.3">
      <c r="B10">
        <v>19</v>
      </c>
      <c r="C10" s="10">
        <f t="shared" si="0"/>
        <v>7.1428571428571425E-2</v>
      </c>
    </row>
    <row r="12" spans="1:14" ht="14.45" x14ac:dyDescent="0.3">
      <c r="A12" t="s">
        <v>76</v>
      </c>
      <c r="B12">
        <f>SUM(B4:B10)</f>
        <v>266</v>
      </c>
    </row>
    <row r="16" spans="1:14" ht="14.45" x14ac:dyDescent="0.3">
      <c r="B16" s="2" t="s">
        <v>1</v>
      </c>
      <c r="C16" t="s">
        <v>77</v>
      </c>
      <c r="D16" s="4" t="s">
        <v>2</v>
      </c>
      <c r="E16" t="s">
        <v>77</v>
      </c>
      <c r="F16" s="4" t="s">
        <v>3</v>
      </c>
      <c r="G16" s="4" t="s">
        <v>49</v>
      </c>
      <c r="H16" t="s">
        <v>77</v>
      </c>
      <c r="J16" t="s">
        <v>2</v>
      </c>
      <c r="K16" t="s">
        <v>3</v>
      </c>
      <c r="L16" t="s">
        <v>79</v>
      </c>
      <c r="M16" t="s">
        <v>1</v>
      </c>
      <c r="N16" t="s">
        <v>81</v>
      </c>
    </row>
    <row r="17" spans="1:14" ht="14.45" x14ac:dyDescent="0.3">
      <c r="A17" t="s">
        <v>16</v>
      </c>
      <c r="B17" s="1">
        <v>0</v>
      </c>
      <c r="C17">
        <f>B17*C4</f>
        <v>0</v>
      </c>
      <c r="D17">
        <v>292</v>
      </c>
      <c r="E17">
        <f>D17*C4</f>
        <v>36.225563909774436</v>
      </c>
      <c r="F17" s="7">
        <f>381+411</f>
        <v>792</v>
      </c>
      <c r="G17">
        <f t="shared" ref="G17:G18" si="1">F17*D17</f>
        <v>231264</v>
      </c>
      <c r="H17" s="11">
        <f>G17*C4</f>
        <v>28690.646616541351</v>
      </c>
      <c r="J17">
        <v>292</v>
      </c>
      <c r="K17">
        <v>792</v>
      </c>
      <c r="L17" s="11">
        <f>$B$32*K17*J17</f>
        <v>4.5493869478896656</v>
      </c>
      <c r="M17">
        <v>0</v>
      </c>
      <c r="N17" t="s">
        <v>82</v>
      </c>
    </row>
    <row r="18" spans="1:14" ht="14.45" x14ac:dyDescent="0.3">
      <c r="A18" t="s">
        <v>8</v>
      </c>
      <c r="B18" s="1">
        <v>4</v>
      </c>
      <c r="C18">
        <f>B18*C5</f>
        <v>0.24060150375939848</v>
      </c>
      <c r="D18">
        <v>508</v>
      </c>
      <c r="E18">
        <f t="shared" ref="E18:E23" si="2">D18*C5</f>
        <v>30.556390977443606</v>
      </c>
      <c r="F18">
        <v>673</v>
      </c>
      <c r="G18">
        <f t="shared" si="1"/>
        <v>341884</v>
      </c>
      <c r="H18" s="11">
        <f t="shared" ref="H18:H23" si="3">G18*C5</f>
        <v>20564.451127819546</v>
      </c>
      <c r="J18">
        <v>508</v>
      </c>
      <c r="K18">
        <v>673</v>
      </c>
      <c r="L18" s="11">
        <f t="shared" ref="L18:L23" si="4">$B$32*K18*J18</f>
        <v>6.7254851913497582</v>
      </c>
      <c r="M18">
        <v>4</v>
      </c>
      <c r="N18" t="s">
        <v>82</v>
      </c>
    </row>
    <row r="19" spans="1:14" ht="14.45" x14ac:dyDescent="0.3">
      <c r="A19" t="s">
        <v>11</v>
      </c>
      <c r="B19" s="1">
        <v>0</v>
      </c>
      <c r="C19">
        <f>B19*C6</f>
        <v>0</v>
      </c>
      <c r="D19">
        <v>228</v>
      </c>
      <c r="E19">
        <f>D19*C6</f>
        <v>28.285714285714285</v>
      </c>
      <c r="F19">
        <v>370</v>
      </c>
      <c r="G19">
        <v>84360</v>
      </c>
      <c r="H19" s="11">
        <f>G19*C6</f>
        <v>10465.714285714284</v>
      </c>
      <c r="J19">
        <v>228</v>
      </c>
      <c r="K19">
        <v>370</v>
      </c>
      <c r="L19" s="11">
        <f t="shared" si="4"/>
        <v>1.6595158906010974</v>
      </c>
      <c r="M19">
        <v>0</v>
      </c>
      <c r="N19" t="s">
        <v>82</v>
      </c>
    </row>
    <row r="20" spans="1:14" ht="14.45" x14ac:dyDescent="0.3">
      <c r="A20" t="s">
        <v>13</v>
      </c>
      <c r="B20" s="1">
        <v>7</v>
      </c>
      <c r="C20">
        <f t="shared" ref="C20:C23" si="5">B20*C7</f>
        <v>3.5263157894736845</v>
      </c>
      <c r="D20">
        <v>327</v>
      </c>
      <c r="E20">
        <f t="shared" si="2"/>
        <v>164.72932330827069</v>
      </c>
      <c r="F20">
        <v>610</v>
      </c>
      <c r="G20">
        <v>199470</v>
      </c>
      <c r="H20" s="11">
        <f>G20*C7</f>
        <v>100484.88721804511</v>
      </c>
      <c r="J20">
        <v>327</v>
      </c>
      <c r="K20">
        <v>610</v>
      </c>
      <c r="L20" s="11">
        <f t="shared" si="4"/>
        <v>3.9239406673565775</v>
      </c>
      <c r="M20">
        <v>7</v>
      </c>
      <c r="N20" t="s">
        <v>80</v>
      </c>
    </row>
    <row r="21" spans="1:14" ht="14.45" x14ac:dyDescent="0.3">
      <c r="A21" t="s">
        <v>9</v>
      </c>
      <c r="B21" s="1">
        <v>3</v>
      </c>
      <c r="C21">
        <f t="shared" si="5"/>
        <v>0.2932330827067669</v>
      </c>
      <c r="D21">
        <v>705</v>
      </c>
      <c r="E21">
        <f t="shared" si="2"/>
        <v>68.909774436090217</v>
      </c>
      <c r="F21">
        <v>673</v>
      </c>
      <c r="G21">
        <v>474465</v>
      </c>
      <c r="H21" s="11">
        <f t="shared" si="3"/>
        <v>46376.278195488718</v>
      </c>
      <c r="J21">
        <v>705</v>
      </c>
      <c r="K21">
        <v>673</v>
      </c>
      <c r="L21" s="11">
        <f t="shared" si="4"/>
        <v>9.3335965746094089</v>
      </c>
      <c r="M21">
        <v>3</v>
      </c>
      <c r="N21" t="s">
        <v>82</v>
      </c>
    </row>
    <row r="22" spans="1:14" ht="14.45" x14ac:dyDescent="0.3">
      <c r="A22" t="s">
        <v>10</v>
      </c>
      <c r="B22" s="1">
        <v>0</v>
      </c>
      <c r="C22">
        <f t="shared" si="5"/>
        <v>0</v>
      </c>
      <c r="D22">
        <v>108</v>
      </c>
      <c r="E22">
        <f t="shared" si="2"/>
        <v>2.0300751879699246</v>
      </c>
      <c r="F22">
        <v>698</v>
      </c>
      <c r="G22">
        <v>75384</v>
      </c>
      <c r="H22" s="11">
        <f t="shared" si="3"/>
        <v>1416.9924812030074</v>
      </c>
      <c r="J22">
        <v>108</v>
      </c>
      <c r="K22">
        <v>698</v>
      </c>
      <c r="L22" s="11">
        <f t="shared" si="4"/>
        <v>1.4829415113451057</v>
      </c>
      <c r="M22">
        <v>0</v>
      </c>
      <c r="N22" t="s">
        <v>82</v>
      </c>
    </row>
    <row r="23" spans="1:14" ht="14.45" x14ac:dyDescent="0.3">
      <c r="A23" t="s">
        <v>7</v>
      </c>
      <c r="B23" s="1">
        <v>2</v>
      </c>
      <c r="C23">
        <f t="shared" si="5"/>
        <v>0.14285714285714285</v>
      </c>
      <c r="D23">
        <v>220</v>
      </c>
      <c r="E23">
        <f t="shared" si="2"/>
        <v>15.714285714285714</v>
      </c>
      <c r="F23">
        <v>360</v>
      </c>
      <c r="G23">
        <f t="shared" ref="G23" si="6">F23*D23</f>
        <v>79200</v>
      </c>
      <c r="H23" s="11">
        <f t="shared" si="3"/>
        <v>5657.1428571428569</v>
      </c>
      <c r="J23">
        <v>220</v>
      </c>
      <c r="K23">
        <v>360</v>
      </c>
      <c r="L23" s="11">
        <f t="shared" si="4"/>
        <v>1.5580092287293374</v>
      </c>
      <c r="M23">
        <v>3</v>
      </c>
      <c r="N23" t="s">
        <v>80</v>
      </c>
    </row>
    <row r="24" spans="1:14" ht="14.45" x14ac:dyDescent="0.3">
      <c r="A24" t="s">
        <v>48</v>
      </c>
      <c r="C24">
        <f>SUM(C17:C23)</f>
        <v>4.2030075187969933</v>
      </c>
      <c r="E24">
        <f>SUM(E17:E23)</f>
        <v>346.4511278195489</v>
      </c>
      <c r="H24" s="11">
        <f>SUM(H17:H23)</f>
        <v>213656.1127819549</v>
      </c>
    </row>
    <row r="27" spans="1:14" ht="14.45" x14ac:dyDescent="0.3">
      <c r="A27" s="8" t="s">
        <v>51</v>
      </c>
      <c r="B27">
        <f>E24</f>
        <v>346.4511278195489</v>
      </c>
    </row>
    <row r="28" spans="1:14" x14ac:dyDescent="0.25">
      <c r="A28" t="s">
        <v>52</v>
      </c>
      <c r="B28">
        <v>26</v>
      </c>
    </row>
    <row r="29" spans="1:14" x14ac:dyDescent="0.25">
      <c r="A29" t="s">
        <v>53</v>
      </c>
      <c r="B29">
        <f>C24/B27</f>
        <v>1.213160293415513E-2</v>
      </c>
    </row>
    <row r="30" spans="1:14" x14ac:dyDescent="0.25">
      <c r="A30" t="s">
        <v>54</v>
      </c>
      <c r="B30">
        <f>H24/B27</f>
        <v>616.69914058769905</v>
      </c>
    </row>
    <row r="31" spans="1:14" x14ac:dyDescent="0.25">
      <c r="A31" t="s">
        <v>55</v>
      </c>
      <c r="B31">
        <f>E24/B27</f>
        <v>1</v>
      </c>
    </row>
    <row r="32" spans="1:14" x14ac:dyDescent="0.25">
      <c r="A32" t="s">
        <v>56</v>
      </c>
      <c r="B32">
        <f>B29/B30/B31</f>
        <v>1.9671833696077494E-5</v>
      </c>
    </row>
    <row r="33" spans="1:2" x14ac:dyDescent="0.25">
      <c r="A33" t="s">
        <v>67</v>
      </c>
      <c r="B33">
        <f>B32*1118</f>
        <v>2.1993110072214637E-2</v>
      </c>
    </row>
    <row r="34" spans="1:2" x14ac:dyDescent="0.25">
      <c r="A34" t="s">
        <v>68</v>
      </c>
      <c r="B34">
        <f>B33/B28</f>
        <v>8.4588884893133218E-4</v>
      </c>
    </row>
    <row r="35" spans="1:2" x14ac:dyDescent="0.25">
      <c r="A35" t="s">
        <v>59</v>
      </c>
      <c r="B35">
        <f>B34*6000</f>
        <v>5.075333093587993</v>
      </c>
    </row>
    <row r="36" spans="1:2" x14ac:dyDescent="0.25">
      <c r="A36" t="s">
        <v>69</v>
      </c>
      <c r="B36">
        <f>B34*10000</f>
        <v>8.4588884893133223</v>
      </c>
    </row>
    <row r="37" spans="1:2" x14ac:dyDescent="0.25">
      <c r="A37" t="s">
        <v>60</v>
      </c>
      <c r="B37">
        <f>B35*2</f>
        <v>10.150666187175986</v>
      </c>
    </row>
    <row r="38" spans="1:2" x14ac:dyDescent="0.25">
      <c r="A38" t="s">
        <v>70</v>
      </c>
      <c r="B38">
        <f>B36*2</f>
        <v>16.917776978626645</v>
      </c>
    </row>
    <row r="39" spans="1:2" x14ac:dyDescent="0.25">
      <c r="A39" t="s">
        <v>71</v>
      </c>
      <c r="B39">
        <f>B34*150000*2</f>
        <v>253.76665467939966</v>
      </c>
    </row>
  </sheetData>
  <conditionalFormatting sqref="L17:L23">
    <cfRule type="colorScale" priority="2">
      <colorScale>
        <cfvo type="num" val="0"/>
        <cfvo type="num" val="4.5"/>
        <cfvo type="num" val="9"/>
        <color rgb="FF5A8AC6"/>
        <color rgb="FFFCFCFF"/>
        <color rgb="FFF8696B"/>
      </colorScale>
    </cfRule>
  </conditionalFormatting>
  <conditionalFormatting sqref="M17:M23">
    <cfRule type="colorScale" priority="1">
      <colorScale>
        <cfvo type="num" val="0"/>
        <cfvo type="num" val="4.5"/>
        <cfvo type="num" val="9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Normal="100" workbookViewId="0"/>
  </sheetViews>
  <sheetFormatPr defaultColWidth="8.85546875" defaultRowHeight="15.75" x14ac:dyDescent="0.25"/>
  <cols>
    <col min="1" max="1" width="11.42578125" style="13" customWidth="1"/>
    <col min="2" max="2" width="14.28515625" style="13" customWidth="1"/>
    <col min="3" max="3" width="10.7109375" style="13" customWidth="1"/>
    <col min="4" max="4" width="11.7109375" style="13" customWidth="1"/>
    <col min="5" max="5" width="9.7109375" style="13" customWidth="1"/>
    <col min="6" max="7" width="16.28515625" style="13" customWidth="1"/>
    <col min="8" max="8" width="11.42578125" style="13" customWidth="1"/>
    <col min="9" max="9" width="16.5703125" style="13" bestFit="1" customWidth="1"/>
    <col min="10" max="10" width="16.28515625" style="13" bestFit="1" customWidth="1"/>
    <col min="11" max="12" width="8.85546875" style="13"/>
    <col min="13" max="13" width="8.85546875" style="13" customWidth="1"/>
    <col min="14" max="14" width="8.85546875" style="13"/>
    <col min="15" max="15" width="8.85546875" style="13" customWidth="1"/>
    <col min="16" max="22" width="8.85546875" style="13"/>
    <col min="23" max="23" width="20.140625" style="13" bestFit="1" customWidth="1"/>
    <col min="24" max="24" width="6.28515625" style="13" customWidth="1"/>
    <col min="25" max="25" width="10" style="13" bestFit="1" customWidth="1"/>
    <col min="26" max="16384" width="8.85546875" style="13"/>
  </cols>
  <sheetData>
    <row r="1" spans="1:25" ht="15.6" x14ac:dyDescent="0.3">
      <c r="A1" s="20"/>
      <c r="B1" s="20"/>
      <c r="C1" s="20"/>
      <c r="D1" s="20"/>
      <c r="E1" s="20"/>
      <c r="F1" s="20"/>
      <c r="G1" s="20"/>
    </row>
    <row r="2" spans="1:25" ht="15.6" x14ac:dyDescent="0.3">
      <c r="A2" s="27" t="s">
        <v>105</v>
      </c>
      <c r="B2" s="28"/>
      <c r="C2" s="28"/>
      <c r="D2" s="28"/>
      <c r="E2" s="28"/>
      <c r="F2" s="28"/>
      <c r="G2" s="29"/>
    </row>
    <row r="3" spans="1:25" ht="15.6" x14ac:dyDescent="0.3">
      <c r="A3" s="17" t="s">
        <v>100</v>
      </c>
      <c r="C3" s="17" t="s">
        <v>100</v>
      </c>
      <c r="E3" s="17" t="s">
        <v>100</v>
      </c>
    </row>
    <row r="4" spans="1:25" ht="15.6" x14ac:dyDescent="0.3">
      <c r="A4" s="17" t="s">
        <v>96</v>
      </c>
      <c r="B4" s="17" t="s">
        <v>89</v>
      </c>
      <c r="C4" s="17" t="s">
        <v>96</v>
      </c>
      <c r="D4" s="17" t="s">
        <v>85</v>
      </c>
      <c r="E4" s="17" t="s">
        <v>102</v>
      </c>
      <c r="F4" s="17" t="s">
        <v>103</v>
      </c>
      <c r="G4" s="17" t="s">
        <v>103</v>
      </c>
    </row>
    <row r="5" spans="1:25" ht="15.6" x14ac:dyDescent="0.3">
      <c r="A5" s="17" t="s">
        <v>84</v>
      </c>
      <c r="B5" s="17" t="s">
        <v>91</v>
      </c>
      <c r="C5" s="17" t="s">
        <v>90</v>
      </c>
      <c r="D5" s="17" t="s">
        <v>101</v>
      </c>
      <c r="E5" s="17" t="s">
        <v>90</v>
      </c>
      <c r="F5" s="17" t="s">
        <v>92</v>
      </c>
      <c r="G5" s="17" t="s">
        <v>97</v>
      </c>
    </row>
    <row r="6" spans="1:25" ht="15.6" x14ac:dyDescent="0.3">
      <c r="A6" s="15">
        <v>1.0766964530254162E-5</v>
      </c>
      <c r="B6" s="12">
        <v>15</v>
      </c>
      <c r="C6" s="15">
        <v>7.1779763535027748E-7</v>
      </c>
      <c r="D6" s="12">
        <v>1122</v>
      </c>
      <c r="E6" s="15">
        <f>D6*C6</f>
        <v>8.0536894686301138E-4</v>
      </c>
      <c r="F6" s="18">
        <f>E6*2*10000</f>
        <v>16.107378937260229</v>
      </c>
      <c r="G6" s="18">
        <f>E6*2*180000</f>
        <v>289.93282087068411</v>
      </c>
    </row>
    <row r="7" spans="1:25" ht="15.6" x14ac:dyDescent="0.3">
      <c r="A7" s="15">
        <v>1.0766964530254162E-5</v>
      </c>
      <c r="B7" s="12">
        <v>25</v>
      </c>
      <c r="C7" s="15">
        <v>4.3067858121016648E-7</v>
      </c>
      <c r="D7" s="12">
        <v>1122</v>
      </c>
      <c r="E7" s="15">
        <f t="shared" ref="E7:E8" si="0">D7*C7</f>
        <v>4.8322136811780679E-4</v>
      </c>
      <c r="F7" s="26">
        <f t="shared" ref="F7:F8" si="1">E7*2*10000</f>
        <v>9.6644273623561361</v>
      </c>
      <c r="G7" s="26">
        <f t="shared" ref="G7:G8" si="2">E7*2*180000</f>
        <v>173.95969252241045</v>
      </c>
    </row>
    <row r="8" spans="1:25" ht="15.6" x14ac:dyDescent="0.3">
      <c r="A8" s="15">
        <v>1.0766964530254162E-5</v>
      </c>
      <c r="B8" s="12">
        <v>35</v>
      </c>
      <c r="C8" s="15">
        <v>3.0762755800726176E-7</v>
      </c>
      <c r="D8" s="12">
        <v>1122</v>
      </c>
      <c r="E8" s="15">
        <f t="shared" si="0"/>
        <v>3.4515812008414768E-4</v>
      </c>
      <c r="F8" s="18">
        <f t="shared" si="1"/>
        <v>6.9031624016829536</v>
      </c>
      <c r="G8" s="18">
        <f t="shared" si="2"/>
        <v>124.25692323029317</v>
      </c>
    </row>
    <row r="9" spans="1:25" ht="15.6" x14ac:dyDescent="0.3">
      <c r="A9" s="15"/>
      <c r="B9" s="12"/>
      <c r="C9" s="15"/>
      <c r="D9" s="12"/>
      <c r="E9" s="15"/>
      <c r="F9" s="18"/>
      <c r="G9" s="19"/>
    </row>
    <row r="10" spans="1:25" ht="15.6" x14ac:dyDescent="0.3">
      <c r="A10" s="15"/>
      <c r="B10" s="12"/>
      <c r="C10" s="15"/>
      <c r="D10" s="12"/>
      <c r="E10" s="15"/>
      <c r="F10" s="18"/>
      <c r="G10" s="19"/>
    </row>
    <row r="11" spans="1:25" ht="15.6" x14ac:dyDescent="0.3">
      <c r="A11" s="30" t="s">
        <v>104</v>
      </c>
      <c r="B11" s="28"/>
      <c r="C11" s="28"/>
      <c r="D11" s="28"/>
      <c r="E11" s="28"/>
      <c r="F11" s="28"/>
      <c r="G11" s="29"/>
    </row>
    <row r="12" spans="1:25" ht="15.6" x14ac:dyDescent="0.3">
      <c r="A12" s="17" t="s">
        <v>100</v>
      </c>
      <c r="B12" s="17" t="s">
        <v>100</v>
      </c>
    </row>
    <row r="13" spans="1:25" ht="15.6" x14ac:dyDescent="0.3">
      <c r="A13" s="17" t="s">
        <v>102</v>
      </c>
      <c r="B13" s="17" t="s">
        <v>102</v>
      </c>
      <c r="C13" s="12"/>
      <c r="D13" s="17" t="s">
        <v>86</v>
      </c>
      <c r="E13" s="17" t="s">
        <v>86</v>
      </c>
      <c r="F13" s="17" t="s">
        <v>95</v>
      </c>
      <c r="G13" s="17" t="s">
        <v>95</v>
      </c>
    </row>
    <row r="14" spans="1:25" ht="16.149999999999999" x14ac:dyDescent="0.35">
      <c r="A14" s="17" t="s">
        <v>90</v>
      </c>
      <c r="B14" s="17" t="s">
        <v>94</v>
      </c>
      <c r="C14" s="17" t="s">
        <v>51</v>
      </c>
      <c r="D14" s="17" t="s">
        <v>87</v>
      </c>
      <c r="E14" s="17" t="s">
        <v>88</v>
      </c>
      <c r="F14" s="17" t="s">
        <v>92</v>
      </c>
      <c r="G14" s="17" t="s">
        <v>97</v>
      </c>
    </row>
    <row r="15" spans="1:25" ht="15.6" x14ac:dyDescent="0.3">
      <c r="A15" s="15">
        <v>8.0536894686301138E-4</v>
      </c>
      <c r="B15" s="16">
        <f>A15*1000000</f>
        <v>805.36894686301139</v>
      </c>
      <c r="C15" s="12">
        <v>2388</v>
      </c>
      <c r="D15" s="15">
        <f>B15+(1.96*SQRT(B15/C15))</f>
        <v>806.50719343290802</v>
      </c>
      <c r="E15" s="15">
        <f>B15-(1.96*SQRT(B15/C15))</f>
        <v>804.23070029311475</v>
      </c>
      <c r="F15" s="26">
        <f>D15/1000000*2*10000</f>
        <v>16.130143868658163</v>
      </c>
      <c r="G15" s="26">
        <f>D15/1000000*2*180000</f>
        <v>290.34258963584693</v>
      </c>
      <c r="W15" s="14" t="s">
        <v>106</v>
      </c>
    </row>
    <row r="16" spans="1:25" ht="15.6" x14ac:dyDescent="0.3">
      <c r="A16" s="15">
        <v>4.8322136811780679E-4</v>
      </c>
      <c r="B16" s="16">
        <f t="shared" ref="B16:B17" si="3">A16*1000000</f>
        <v>483.22136811780678</v>
      </c>
      <c r="C16" s="12">
        <v>2388</v>
      </c>
      <c r="D16" s="15">
        <f t="shared" ref="D16:D17" si="4">B16+(1.96*SQRT(B16/C16))</f>
        <v>484.10305011962424</v>
      </c>
      <c r="E16" s="15">
        <f t="shared" ref="E16:E17" si="5">B16-(1.96*SQRT(B16/C16))</f>
        <v>482.33968611598931</v>
      </c>
      <c r="F16" s="12"/>
      <c r="G16" s="12"/>
      <c r="W16" s="12" t="s">
        <v>107</v>
      </c>
      <c r="X16" s="12" t="s">
        <v>108</v>
      </c>
      <c r="Y16" s="12" t="s">
        <v>109</v>
      </c>
    </row>
    <row r="17" spans="1:24" ht="15.6" x14ac:dyDescent="0.3">
      <c r="A17" s="15">
        <v>3.4515812008414768E-4</v>
      </c>
      <c r="B17" s="16">
        <f t="shared" si="3"/>
        <v>345.1581200841477</v>
      </c>
      <c r="C17" s="12">
        <v>2388</v>
      </c>
      <c r="D17" s="15">
        <f t="shared" si="4"/>
        <v>345.9032773793013</v>
      </c>
      <c r="E17" s="15">
        <f t="shared" si="5"/>
        <v>344.41296278899409</v>
      </c>
      <c r="F17" s="26">
        <f>E17/1000000*2*10000</f>
        <v>6.8882592557798814</v>
      </c>
      <c r="G17" s="26">
        <f>E17/1000000*2*180000</f>
        <v>123.98866660403787</v>
      </c>
      <c r="W17" s="21" t="s">
        <v>100</v>
      </c>
      <c r="X17" s="21"/>
    </row>
    <row r="18" spans="1:24" ht="15.6" x14ac:dyDescent="0.3">
      <c r="W18" s="21" t="s">
        <v>102</v>
      </c>
      <c r="X18" s="21"/>
    </row>
  </sheetData>
  <mergeCells count="2">
    <mergeCell ref="A2:G2"/>
    <mergeCell ref="A11:G11"/>
  </mergeCells>
  <conditionalFormatting sqref="E17 D1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7"/>
  <sheetViews>
    <sheetView workbookViewId="0">
      <selection activeCell="G22" sqref="G22"/>
    </sheetView>
  </sheetViews>
  <sheetFormatPr defaultRowHeight="15" x14ac:dyDescent="0.25"/>
  <cols>
    <col min="1" max="1" width="11.42578125" bestFit="1" customWidth="1"/>
    <col min="2" max="2" width="14.7109375" bestFit="1" customWidth="1"/>
    <col min="3" max="3" width="15.7109375" bestFit="1" customWidth="1"/>
    <col min="4" max="4" width="15" bestFit="1" customWidth="1"/>
    <col min="5" max="5" width="13.5703125" bestFit="1" customWidth="1"/>
  </cols>
  <sheetData>
    <row r="8" spans="1:6" ht="15.6" x14ac:dyDescent="0.3">
      <c r="A8" s="22" t="s">
        <v>98</v>
      </c>
      <c r="C8" s="22" t="s">
        <v>98</v>
      </c>
    </row>
    <row r="9" spans="1:6" ht="15.6" x14ac:dyDescent="0.3">
      <c r="A9" s="22" t="s">
        <v>83</v>
      </c>
      <c r="C9" s="22" t="s">
        <v>83</v>
      </c>
    </row>
    <row r="10" spans="1:6" ht="15.6" x14ac:dyDescent="0.3">
      <c r="A10" s="22" t="s">
        <v>96</v>
      </c>
      <c r="B10" s="22" t="s">
        <v>85</v>
      </c>
      <c r="C10" s="22" t="s">
        <v>110</v>
      </c>
      <c r="E10" s="22" t="s">
        <v>86</v>
      </c>
      <c r="F10" s="22" t="s">
        <v>86</v>
      </c>
    </row>
    <row r="11" spans="1:6" ht="15.6" x14ac:dyDescent="0.3">
      <c r="A11" s="22" t="s">
        <v>84</v>
      </c>
      <c r="B11" s="22" t="s">
        <v>93</v>
      </c>
      <c r="C11" s="22" t="s">
        <v>84</v>
      </c>
      <c r="D11" s="22" t="s">
        <v>51</v>
      </c>
      <c r="E11" s="22" t="s">
        <v>87</v>
      </c>
      <c r="F11" s="22" t="s">
        <v>88</v>
      </c>
    </row>
    <row r="12" spans="1:6" ht="15.6" x14ac:dyDescent="0.3">
      <c r="A12" s="15">
        <v>1.0766964530254162E-5</v>
      </c>
      <c r="B12" s="12">
        <v>1118</v>
      </c>
      <c r="C12" s="23">
        <f>A12*B12</f>
        <v>1.2037466344824154E-2</v>
      </c>
      <c r="D12" s="12">
        <v>2388</v>
      </c>
      <c r="E12" s="23">
        <f>C12+(1.96*SQRT(C12/D12))</f>
        <v>1.6438011209361485E-2</v>
      </c>
      <c r="F12" s="23">
        <f>C12-(1.96*SQRT(C12/D12))</f>
        <v>7.6369214802868212E-3</v>
      </c>
    </row>
    <row r="20" spans="2:5" ht="15.6" x14ac:dyDescent="0.3">
      <c r="C20" s="22" t="s">
        <v>98</v>
      </c>
    </row>
    <row r="21" spans="2:5" ht="15.6" x14ac:dyDescent="0.3">
      <c r="C21" s="22" t="s">
        <v>83</v>
      </c>
    </row>
    <row r="22" spans="2:5" ht="15.6" x14ac:dyDescent="0.3">
      <c r="C22" s="22" t="s">
        <v>110</v>
      </c>
      <c r="D22" s="22" t="s">
        <v>86</v>
      </c>
      <c r="E22" s="22" t="s">
        <v>86</v>
      </c>
    </row>
    <row r="23" spans="2:5" ht="15.6" x14ac:dyDescent="0.3">
      <c r="B23" s="8" t="s">
        <v>99</v>
      </c>
      <c r="C23" s="22" t="s">
        <v>84</v>
      </c>
      <c r="D23" s="22" t="s">
        <v>87</v>
      </c>
      <c r="E23" s="22" t="s">
        <v>88</v>
      </c>
    </row>
    <row r="24" spans="2:5" ht="14.45" x14ac:dyDescent="0.3">
      <c r="C24" s="23">
        <v>1.2037466344824154E-2</v>
      </c>
      <c r="D24" s="23">
        <v>1.6438011209361485E-2</v>
      </c>
      <c r="E24" s="23">
        <v>7.6369214802868212E-3</v>
      </c>
    </row>
    <row r="25" spans="2:5" ht="14.45" x14ac:dyDescent="0.3">
      <c r="B25">
        <v>200</v>
      </c>
      <c r="C25" s="24">
        <f>C24*B25</f>
        <v>2.407493268964831</v>
      </c>
      <c r="D25" s="24">
        <f>D24*B25</f>
        <v>3.287602241872297</v>
      </c>
      <c r="E25" s="24">
        <f>E24*B25</f>
        <v>1.5273842960573643</v>
      </c>
    </row>
    <row r="26" spans="2:5" ht="14.45" x14ac:dyDescent="0.3">
      <c r="B26">
        <v>1000</v>
      </c>
      <c r="C26" s="25">
        <f>C25*B26</f>
        <v>2407.4932689648308</v>
      </c>
      <c r="D26" s="25">
        <f>D25*B26</f>
        <v>3287.6022418722969</v>
      </c>
      <c r="E26" s="25">
        <f>E25*B26</f>
        <v>1527.3842960573643</v>
      </c>
    </row>
    <row r="27" spans="2:5" x14ac:dyDescent="0.25">
      <c r="B27">
        <v>425000</v>
      </c>
      <c r="C27" s="25">
        <f>C26*B27</f>
        <v>1023184639.3100531</v>
      </c>
      <c r="D27" s="25">
        <f>D26*B27</f>
        <v>1397230952.7957261</v>
      </c>
      <c r="E27" s="25">
        <f>E26*B27</f>
        <v>649138325.8243798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Subset</vt:lpstr>
      <vt:lpstr>Weighted</vt:lpstr>
      <vt:lpstr>ForPaper</vt:lpstr>
      <vt:lpstr>PerGen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Web Editor</cp:lastModifiedBy>
  <dcterms:created xsi:type="dcterms:W3CDTF">2013-02-15T20:56:07Z</dcterms:created>
  <dcterms:modified xsi:type="dcterms:W3CDTF">2013-12-11T18:49:10Z</dcterms:modified>
</cp:coreProperties>
</file>